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html-work\molecula.ru\Конкурс-2015\Оценки\"/>
    </mc:Choice>
  </mc:AlternateContent>
  <bookViews>
    <workbookView xWindow="4290" yWindow="0" windowWidth="20115" windowHeight="9285" tabRatio="553"/>
  </bookViews>
  <sheets>
    <sheet name="Сводка" sheetId="1" r:id="rId1"/>
    <sheet name="Башмакова" sheetId="2" r:id="rId2"/>
    <sheet name="Вяххи" sheetId="3" r:id="rId3"/>
    <sheet name="Зимина" sheetId="4" r:id="rId4"/>
    <sheet name="Клещенко" sheetId="5" r:id="rId5"/>
    <sheet name="Константинов" sheetId="6" r:id="rId6"/>
    <sheet name="Максутов" sheetId="7" r:id="rId7"/>
    <sheet name="Мамонтов" sheetId="8" r:id="rId8"/>
    <sheet name="Меджитов" sheetId="9" r:id="rId9"/>
    <sheet name="Паевский" sheetId="10" r:id="rId10"/>
    <sheet name="Полянский" sheetId="11" r:id="rId11"/>
    <sheet name="Старокадомский" sheetId="12" r:id="rId12"/>
    <sheet name="Тарасевич" sheetId="13" r:id="rId13"/>
    <sheet name="Чугунов" sheetId="14" r:id="rId14"/>
    <sheet name="Якименко" sheetId="15" r:id="rId15"/>
    <sheet name="Якутенко" sheetId="16" r:id="rId16"/>
  </sheets>
  <calcPr calcId="152511"/>
</workbook>
</file>

<file path=xl/calcChain.xml><?xml version="1.0" encoding="utf-8"?>
<calcChain xmlns="http://schemas.openxmlformats.org/spreadsheetml/2006/main">
  <c r="D7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9" i="1"/>
  <c r="D50" i="1"/>
  <c r="D51" i="1"/>
  <c r="D52" i="1"/>
  <c r="D53" i="1"/>
  <c r="D54" i="1"/>
  <c r="D55" i="1"/>
  <c r="D73" i="1"/>
  <c r="D74" i="1"/>
  <c r="D75" i="1"/>
  <c r="D76" i="1"/>
  <c r="D77" i="1"/>
  <c r="D78" i="1"/>
  <c r="D6" i="1"/>
  <c r="I7" i="2"/>
  <c r="J7" i="2"/>
  <c r="K7" i="2"/>
  <c r="L7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I36" i="2"/>
  <c r="J36" i="2"/>
  <c r="K36" i="2"/>
  <c r="L36" i="2"/>
  <c r="I37" i="2"/>
  <c r="J37" i="2"/>
  <c r="K37" i="2"/>
  <c r="L37" i="2"/>
  <c r="I38" i="2"/>
  <c r="J38" i="2"/>
  <c r="K38" i="2"/>
  <c r="L38" i="2"/>
  <c r="I39" i="2"/>
  <c r="J39" i="2"/>
  <c r="K39" i="2"/>
  <c r="L39" i="2"/>
  <c r="I40" i="2"/>
  <c r="J40" i="2"/>
  <c r="K40" i="2"/>
  <c r="L40" i="2"/>
  <c r="I41" i="2"/>
  <c r="J41" i="2"/>
  <c r="K41" i="2"/>
  <c r="L41" i="2"/>
  <c r="I42" i="2"/>
  <c r="J42" i="2"/>
  <c r="K42" i="2"/>
  <c r="L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9" i="2"/>
  <c r="J49" i="2"/>
  <c r="K49" i="2"/>
  <c r="L49" i="2"/>
  <c r="I50" i="2"/>
  <c r="J50" i="2"/>
  <c r="K50" i="2"/>
  <c r="L50" i="2"/>
  <c r="I51" i="2"/>
  <c r="J51" i="2"/>
  <c r="K51" i="2"/>
  <c r="L51" i="2"/>
  <c r="I52" i="2"/>
  <c r="J52" i="2"/>
  <c r="K52" i="2"/>
  <c r="L52" i="2"/>
  <c r="I53" i="2"/>
  <c r="J53" i="2"/>
  <c r="K53" i="2"/>
  <c r="L53" i="2"/>
  <c r="I54" i="2"/>
  <c r="J54" i="2"/>
  <c r="K54" i="2"/>
  <c r="L54" i="2"/>
  <c r="I55" i="2"/>
  <c r="J55" i="2"/>
  <c r="K55" i="2"/>
  <c r="L55" i="2"/>
  <c r="I73" i="2"/>
  <c r="J73" i="2"/>
  <c r="K73" i="2"/>
  <c r="L73" i="2"/>
  <c r="I74" i="2"/>
  <c r="J74" i="2"/>
  <c r="K74" i="2"/>
  <c r="L74" i="2"/>
  <c r="I75" i="2"/>
  <c r="J75" i="2"/>
  <c r="K75" i="2"/>
  <c r="L75" i="2"/>
  <c r="I76" i="2"/>
  <c r="J76" i="2"/>
  <c r="K76" i="2"/>
  <c r="L76" i="2"/>
  <c r="I77" i="2"/>
  <c r="J77" i="2"/>
  <c r="K77" i="2"/>
  <c r="L77" i="2"/>
  <c r="I78" i="2"/>
  <c r="J78" i="2"/>
  <c r="K78" i="2"/>
  <c r="L78" i="2"/>
  <c r="J6" i="2"/>
  <c r="K6" i="2"/>
  <c r="L6" i="2"/>
  <c r="K1" i="2"/>
  <c r="I6" i="2"/>
  <c r="J3" i="2"/>
  <c r="K3" i="2"/>
  <c r="L3" i="2"/>
  <c r="I3" i="2"/>
  <c r="I1" i="2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7" i="1"/>
  <c r="M38" i="1"/>
  <c r="M39" i="1"/>
  <c r="M40" i="1"/>
  <c r="M41" i="1"/>
  <c r="M42" i="1"/>
  <c r="M43" i="1"/>
  <c r="M44" i="1"/>
  <c r="M45" i="1"/>
  <c r="M46" i="1"/>
  <c r="M49" i="1"/>
  <c r="M50" i="1"/>
  <c r="M51" i="1"/>
  <c r="M52" i="1"/>
  <c r="M53" i="1"/>
  <c r="M54" i="1"/>
  <c r="M55" i="1"/>
  <c r="M73" i="1"/>
  <c r="M74" i="1"/>
  <c r="M75" i="1"/>
  <c r="M76" i="1"/>
  <c r="M77" i="1"/>
  <c r="M78" i="1"/>
  <c r="M6" i="1"/>
  <c r="I7" i="11"/>
  <c r="J7" i="11"/>
  <c r="K7" i="11"/>
  <c r="L7" i="11"/>
  <c r="I9" i="11"/>
  <c r="J9" i="11"/>
  <c r="K9" i="11"/>
  <c r="L9" i="11"/>
  <c r="I10" i="11"/>
  <c r="J10" i="11"/>
  <c r="K10" i="11"/>
  <c r="L10" i="11"/>
  <c r="I11" i="11"/>
  <c r="J11" i="11"/>
  <c r="K11" i="11"/>
  <c r="L11" i="11"/>
  <c r="I12" i="11"/>
  <c r="J12" i="11"/>
  <c r="K12" i="11"/>
  <c r="L12" i="11"/>
  <c r="I13" i="11"/>
  <c r="J13" i="11"/>
  <c r="K13" i="11"/>
  <c r="L13" i="11"/>
  <c r="I14" i="11"/>
  <c r="J14" i="11"/>
  <c r="K14" i="11"/>
  <c r="L14" i="11"/>
  <c r="I15" i="11"/>
  <c r="J15" i="11"/>
  <c r="K15" i="11"/>
  <c r="L15" i="11"/>
  <c r="I16" i="11"/>
  <c r="J16" i="11"/>
  <c r="K16" i="11"/>
  <c r="L16" i="11"/>
  <c r="I17" i="11"/>
  <c r="J17" i="11"/>
  <c r="K17" i="11"/>
  <c r="L17" i="11"/>
  <c r="I18" i="11"/>
  <c r="J18" i="11"/>
  <c r="K18" i="11"/>
  <c r="L18" i="11"/>
  <c r="I19" i="11"/>
  <c r="J19" i="11"/>
  <c r="K19" i="11"/>
  <c r="L19" i="11"/>
  <c r="I20" i="11"/>
  <c r="J20" i="11"/>
  <c r="K20" i="11"/>
  <c r="L20" i="11"/>
  <c r="I21" i="11"/>
  <c r="J21" i="11"/>
  <c r="K21" i="11"/>
  <c r="L21" i="11"/>
  <c r="I22" i="11"/>
  <c r="J22" i="11"/>
  <c r="K22" i="11"/>
  <c r="L22" i="11"/>
  <c r="I23" i="11"/>
  <c r="J23" i="11"/>
  <c r="K23" i="11"/>
  <c r="L23" i="11"/>
  <c r="I24" i="11"/>
  <c r="J24" i="11"/>
  <c r="K24" i="11"/>
  <c r="L24" i="11"/>
  <c r="I25" i="11"/>
  <c r="J25" i="11"/>
  <c r="K25" i="11"/>
  <c r="L25" i="11"/>
  <c r="I26" i="11"/>
  <c r="J26" i="11"/>
  <c r="K26" i="11"/>
  <c r="L26" i="11"/>
  <c r="I27" i="11"/>
  <c r="J27" i="11"/>
  <c r="K27" i="11"/>
  <c r="L27" i="11"/>
  <c r="I28" i="11"/>
  <c r="J28" i="11"/>
  <c r="K28" i="11"/>
  <c r="L28" i="11"/>
  <c r="I29" i="11"/>
  <c r="J29" i="11"/>
  <c r="K29" i="11"/>
  <c r="L29" i="11"/>
  <c r="I30" i="11"/>
  <c r="J30" i="11"/>
  <c r="K30" i="11"/>
  <c r="L30" i="11"/>
  <c r="I31" i="11"/>
  <c r="J31" i="11"/>
  <c r="K31" i="11"/>
  <c r="L31" i="11"/>
  <c r="I32" i="11"/>
  <c r="J32" i="11"/>
  <c r="K32" i="11"/>
  <c r="L32" i="11"/>
  <c r="I33" i="11"/>
  <c r="J33" i="11"/>
  <c r="K33" i="11"/>
  <c r="L33" i="11"/>
  <c r="I34" i="11"/>
  <c r="J34" i="11"/>
  <c r="K34" i="11"/>
  <c r="L34" i="11"/>
  <c r="I37" i="11"/>
  <c r="J37" i="11"/>
  <c r="K37" i="11"/>
  <c r="L37" i="11"/>
  <c r="I38" i="11"/>
  <c r="J38" i="11"/>
  <c r="K38" i="11"/>
  <c r="L38" i="11"/>
  <c r="I39" i="11"/>
  <c r="J39" i="11"/>
  <c r="K39" i="11"/>
  <c r="L39" i="11"/>
  <c r="I40" i="11"/>
  <c r="J40" i="11"/>
  <c r="K40" i="11"/>
  <c r="L40" i="11"/>
  <c r="I41" i="11"/>
  <c r="J41" i="11"/>
  <c r="K41" i="11"/>
  <c r="L41" i="11"/>
  <c r="I42" i="11"/>
  <c r="J42" i="11"/>
  <c r="K42" i="11"/>
  <c r="L42" i="11"/>
  <c r="I43" i="11"/>
  <c r="J43" i="11"/>
  <c r="K43" i="11"/>
  <c r="L43" i="11"/>
  <c r="I44" i="11"/>
  <c r="J44" i="11"/>
  <c r="K44" i="11"/>
  <c r="L44" i="11"/>
  <c r="I45" i="11"/>
  <c r="J45" i="11"/>
  <c r="K45" i="11"/>
  <c r="L45" i="11"/>
  <c r="I46" i="11"/>
  <c r="J46" i="11"/>
  <c r="K46" i="11"/>
  <c r="L46" i="11"/>
  <c r="I49" i="11"/>
  <c r="J49" i="11"/>
  <c r="K49" i="11"/>
  <c r="L49" i="11"/>
  <c r="I50" i="11"/>
  <c r="J50" i="11"/>
  <c r="K50" i="11"/>
  <c r="L50" i="11"/>
  <c r="I51" i="11"/>
  <c r="J51" i="11"/>
  <c r="K51" i="11"/>
  <c r="L51" i="11"/>
  <c r="I52" i="11"/>
  <c r="J52" i="11"/>
  <c r="K52" i="11"/>
  <c r="L52" i="11"/>
  <c r="I53" i="11"/>
  <c r="J53" i="11"/>
  <c r="K53" i="11"/>
  <c r="L53" i="11"/>
  <c r="I54" i="11"/>
  <c r="J54" i="11"/>
  <c r="K54" i="11"/>
  <c r="L54" i="11"/>
  <c r="I55" i="11"/>
  <c r="J55" i="11"/>
  <c r="K55" i="11"/>
  <c r="L55" i="11"/>
  <c r="I73" i="11"/>
  <c r="J73" i="11"/>
  <c r="K73" i="11"/>
  <c r="L73" i="11"/>
  <c r="I74" i="11"/>
  <c r="J74" i="11"/>
  <c r="K74" i="11"/>
  <c r="L74" i="11"/>
  <c r="I75" i="11"/>
  <c r="J75" i="11"/>
  <c r="K75" i="11"/>
  <c r="L75" i="11"/>
  <c r="I76" i="11"/>
  <c r="J76" i="11"/>
  <c r="K76" i="11"/>
  <c r="L76" i="11"/>
  <c r="I77" i="11"/>
  <c r="J77" i="11"/>
  <c r="K77" i="11"/>
  <c r="L77" i="11"/>
  <c r="I78" i="11"/>
  <c r="J78" i="11"/>
  <c r="K78" i="11"/>
  <c r="L78" i="11"/>
  <c r="J6" i="11"/>
  <c r="K6" i="11"/>
  <c r="L6" i="11"/>
  <c r="I6" i="11"/>
  <c r="J3" i="11"/>
  <c r="K3" i="11"/>
  <c r="L3" i="11"/>
  <c r="I3" i="11"/>
  <c r="K1" i="11"/>
  <c r="I1" i="11"/>
  <c r="Q7" i="1" l="1"/>
  <c r="Q9" i="1"/>
  <c r="Q10" i="1"/>
  <c r="Q11" i="1"/>
  <c r="Q12" i="1"/>
  <c r="Q13" i="1"/>
  <c r="C13" i="1" s="1"/>
  <c r="Q14" i="1"/>
  <c r="Q15" i="1"/>
  <c r="Q16" i="1"/>
  <c r="Q17" i="1"/>
  <c r="C17" i="1" s="1"/>
  <c r="Q18" i="1"/>
  <c r="Q19" i="1"/>
  <c r="Q20" i="1"/>
  <c r="Q21" i="1"/>
  <c r="Q22" i="1"/>
  <c r="Q23" i="1"/>
  <c r="Q24" i="1"/>
  <c r="Q25" i="1"/>
  <c r="Q26" i="1"/>
  <c r="Q27" i="1"/>
  <c r="Q28" i="1"/>
  <c r="Q29" i="1"/>
  <c r="C29" i="1" s="1"/>
  <c r="Q30" i="1"/>
  <c r="Q31" i="1"/>
  <c r="Q32" i="1"/>
  <c r="Q33" i="1"/>
  <c r="C33" i="1" s="1"/>
  <c r="Q34" i="1"/>
  <c r="Q37" i="1"/>
  <c r="C37" i="1" s="1"/>
  <c r="Q38" i="1"/>
  <c r="Q39" i="1"/>
  <c r="Q40" i="1"/>
  <c r="Q41" i="1"/>
  <c r="C41" i="1" s="1"/>
  <c r="Q42" i="1"/>
  <c r="Q43" i="1"/>
  <c r="Q44" i="1"/>
  <c r="Q45" i="1"/>
  <c r="Q46" i="1"/>
  <c r="Q49" i="1"/>
  <c r="C49" i="1" s="1"/>
  <c r="Q50" i="1"/>
  <c r="Q51" i="1"/>
  <c r="Q52" i="1"/>
  <c r="Q53" i="1"/>
  <c r="Q54" i="1"/>
  <c r="Q55" i="1"/>
  <c r="C58" i="1"/>
  <c r="C69" i="1"/>
  <c r="Q73" i="1"/>
  <c r="Q74" i="1"/>
  <c r="Q75" i="1"/>
  <c r="Q76" i="1"/>
  <c r="Q77" i="1"/>
  <c r="C77" i="1" s="1"/>
  <c r="Q78" i="1"/>
  <c r="Q6" i="1"/>
  <c r="P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7" i="1"/>
  <c r="P38" i="1"/>
  <c r="P39" i="1"/>
  <c r="P40" i="1"/>
  <c r="P41" i="1"/>
  <c r="P42" i="1"/>
  <c r="P43" i="1"/>
  <c r="P44" i="1"/>
  <c r="P45" i="1"/>
  <c r="P46" i="1"/>
  <c r="P49" i="1"/>
  <c r="P50" i="1"/>
  <c r="P51" i="1"/>
  <c r="P52" i="1"/>
  <c r="P53" i="1"/>
  <c r="P54" i="1"/>
  <c r="P55" i="1"/>
  <c r="P73" i="1"/>
  <c r="P74" i="1"/>
  <c r="P75" i="1"/>
  <c r="P76" i="1"/>
  <c r="P77" i="1"/>
  <c r="P78" i="1"/>
  <c r="P6" i="1"/>
  <c r="N7" i="1"/>
  <c r="N9" i="1"/>
  <c r="N10" i="1"/>
  <c r="C10" i="1" s="1"/>
  <c r="N11" i="1"/>
  <c r="N12" i="1"/>
  <c r="N13" i="1"/>
  <c r="N14" i="1"/>
  <c r="C14" i="1" s="1"/>
  <c r="N15" i="1"/>
  <c r="N16" i="1"/>
  <c r="N17" i="1"/>
  <c r="N18" i="1"/>
  <c r="C18" i="1" s="1"/>
  <c r="N19" i="1"/>
  <c r="N20" i="1"/>
  <c r="N21" i="1"/>
  <c r="N22" i="1"/>
  <c r="C22" i="1" s="1"/>
  <c r="N23" i="1"/>
  <c r="N24" i="1"/>
  <c r="N25" i="1"/>
  <c r="N26" i="1"/>
  <c r="C26" i="1" s="1"/>
  <c r="N27" i="1"/>
  <c r="N28" i="1"/>
  <c r="N29" i="1"/>
  <c r="N30" i="1"/>
  <c r="C30" i="1" s="1"/>
  <c r="N31" i="1"/>
  <c r="N32" i="1"/>
  <c r="N33" i="1"/>
  <c r="N34" i="1"/>
  <c r="C34" i="1" s="1"/>
  <c r="N37" i="1"/>
  <c r="N38" i="1"/>
  <c r="N39" i="1"/>
  <c r="N40" i="1"/>
  <c r="N41" i="1"/>
  <c r="N42" i="1"/>
  <c r="N43" i="1"/>
  <c r="N44" i="1"/>
  <c r="N45" i="1"/>
  <c r="N46" i="1"/>
  <c r="N49" i="1"/>
  <c r="N50" i="1"/>
  <c r="C50" i="1" s="1"/>
  <c r="N51" i="1"/>
  <c r="N52" i="1"/>
  <c r="N53" i="1"/>
  <c r="N54" i="1"/>
  <c r="C54" i="1" s="1"/>
  <c r="N55" i="1"/>
  <c r="N73" i="1"/>
  <c r="N74" i="1"/>
  <c r="N75" i="1"/>
  <c r="N76" i="1"/>
  <c r="N77" i="1"/>
  <c r="N78" i="1"/>
  <c r="N6" i="1"/>
  <c r="C6" i="1" s="1"/>
  <c r="K59" i="1"/>
  <c r="K60" i="1"/>
  <c r="K61" i="1"/>
  <c r="K62" i="1"/>
  <c r="K63" i="1"/>
  <c r="K64" i="1"/>
  <c r="K65" i="1"/>
  <c r="K66" i="1"/>
  <c r="K67" i="1"/>
  <c r="K68" i="1"/>
  <c r="K69" i="1"/>
  <c r="K70" i="1"/>
  <c r="K58" i="1"/>
  <c r="C7" i="1"/>
  <c r="C9" i="1"/>
  <c r="C11" i="1"/>
  <c r="C12" i="1"/>
  <c r="C15" i="1"/>
  <c r="C16" i="1"/>
  <c r="C19" i="1"/>
  <c r="C20" i="1"/>
  <c r="C21" i="1"/>
  <c r="C23" i="1"/>
  <c r="C24" i="1"/>
  <c r="C25" i="1"/>
  <c r="C27" i="1"/>
  <c r="C28" i="1"/>
  <c r="C31" i="1"/>
  <c r="C32" i="1"/>
  <c r="C39" i="1"/>
  <c r="C40" i="1"/>
  <c r="C43" i="1"/>
  <c r="C44" i="1"/>
  <c r="C45" i="1"/>
  <c r="C51" i="1"/>
  <c r="C52" i="1"/>
  <c r="C53" i="1"/>
  <c r="C55" i="1"/>
  <c r="C59" i="1"/>
  <c r="C60" i="1"/>
  <c r="C61" i="1"/>
  <c r="C63" i="1"/>
  <c r="C64" i="1"/>
  <c r="C65" i="1"/>
  <c r="C67" i="1"/>
  <c r="C68" i="1"/>
  <c r="C73" i="1"/>
  <c r="C75" i="1"/>
  <c r="C7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7" i="1"/>
  <c r="J38" i="1"/>
  <c r="J39" i="1"/>
  <c r="J40" i="1"/>
  <c r="J41" i="1"/>
  <c r="J42" i="1"/>
  <c r="J43" i="1"/>
  <c r="J44" i="1"/>
  <c r="J45" i="1"/>
  <c r="J46" i="1"/>
  <c r="J49" i="1"/>
  <c r="J50" i="1"/>
  <c r="J51" i="1"/>
  <c r="J52" i="1"/>
  <c r="J53" i="1"/>
  <c r="J54" i="1"/>
  <c r="J55" i="1"/>
  <c r="J73" i="1"/>
  <c r="J74" i="1"/>
  <c r="J75" i="1"/>
  <c r="J76" i="1"/>
  <c r="J77" i="1"/>
  <c r="J78" i="1"/>
  <c r="C82" i="1"/>
  <c r="C86" i="1"/>
  <c r="C90" i="1"/>
  <c r="J6" i="1"/>
  <c r="C83" i="1"/>
  <c r="C84" i="1"/>
  <c r="C85" i="1"/>
  <c r="C87" i="1"/>
  <c r="C88" i="1"/>
  <c r="C89" i="1"/>
  <c r="C91" i="1"/>
  <c r="C92" i="1"/>
  <c r="C93" i="1"/>
  <c r="C81" i="1"/>
  <c r="H82" i="1"/>
  <c r="H83" i="1"/>
  <c r="H84" i="1"/>
  <c r="H85" i="1"/>
  <c r="H86" i="1"/>
  <c r="H87" i="1"/>
  <c r="H88" i="1"/>
  <c r="H89" i="1"/>
  <c r="H90" i="1"/>
  <c r="H91" i="1"/>
  <c r="H92" i="1"/>
  <c r="H93" i="1"/>
  <c r="H81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4" i="1"/>
  <c r="G55" i="1"/>
  <c r="G73" i="1"/>
  <c r="G74" i="1"/>
  <c r="G75" i="1"/>
  <c r="G76" i="1"/>
  <c r="G77" i="1"/>
  <c r="G78" i="1"/>
  <c r="G9" i="1"/>
  <c r="G7" i="1"/>
  <c r="G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4" i="1"/>
  <c r="F55" i="1"/>
  <c r="F73" i="1"/>
  <c r="F74" i="1"/>
  <c r="F75" i="1"/>
  <c r="F76" i="1"/>
  <c r="F77" i="1"/>
  <c r="F7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F7" i="1"/>
  <c r="F6" i="1"/>
  <c r="E93" i="1"/>
  <c r="E82" i="1"/>
  <c r="E83" i="1"/>
  <c r="E84" i="1"/>
  <c r="E85" i="1"/>
  <c r="E86" i="1"/>
  <c r="E87" i="1"/>
  <c r="E88" i="1"/>
  <c r="E89" i="1"/>
  <c r="E90" i="1"/>
  <c r="E91" i="1"/>
  <c r="E92" i="1"/>
  <c r="E81" i="1"/>
  <c r="I7" i="15"/>
  <c r="J7" i="15"/>
  <c r="K7" i="15"/>
  <c r="L7" i="15"/>
  <c r="I9" i="15"/>
  <c r="J9" i="15"/>
  <c r="K9" i="15"/>
  <c r="L9" i="15"/>
  <c r="I10" i="15"/>
  <c r="J10" i="15"/>
  <c r="K10" i="15"/>
  <c r="L10" i="15"/>
  <c r="I11" i="15"/>
  <c r="J11" i="15"/>
  <c r="K11" i="15"/>
  <c r="L11" i="15"/>
  <c r="I12" i="15"/>
  <c r="J12" i="15"/>
  <c r="K12" i="15"/>
  <c r="L12" i="15"/>
  <c r="I13" i="15"/>
  <c r="J13" i="15"/>
  <c r="K13" i="15"/>
  <c r="L13" i="15"/>
  <c r="I14" i="15"/>
  <c r="J14" i="15"/>
  <c r="K14" i="15"/>
  <c r="L14" i="15"/>
  <c r="I15" i="15"/>
  <c r="J15" i="15"/>
  <c r="K15" i="15"/>
  <c r="L15" i="15"/>
  <c r="I16" i="15"/>
  <c r="J16" i="15"/>
  <c r="K16" i="15"/>
  <c r="L16" i="15"/>
  <c r="I17" i="15"/>
  <c r="J17" i="15"/>
  <c r="K17" i="15"/>
  <c r="L17" i="15"/>
  <c r="I18" i="15"/>
  <c r="J18" i="15"/>
  <c r="K18" i="15"/>
  <c r="L18" i="15"/>
  <c r="I19" i="15"/>
  <c r="J19" i="15"/>
  <c r="K19" i="15"/>
  <c r="L19" i="15"/>
  <c r="I20" i="15"/>
  <c r="J20" i="15"/>
  <c r="K20" i="15"/>
  <c r="L20" i="15"/>
  <c r="I21" i="15"/>
  <c r="J21" i="15"/>
  <c r="K21" i="15"/>
  <c r="L21" i="15"/>
  <c r="I22" i="15"/>
  <c r="J22" i="15"/>
  <c r="K22" i="15"/>
  <c r="L22" i="15"/>
  <c r="I23" i="15"/>
  <c r="J23" i="15"/>
  <c r="K23" i="15"/>
  <c r="L23" i="15"/>
  <c r="I24" i="15"/>
  <c r="J24" i="15"/>
  <c r="K24" i="15"/>
  <c r="L24" i="15"/>
  <c r="I25" i="15"/>
  <c r="J25" i="15"/>
  <c r="K25" i="15"/>
  <c r="L25" i="15"/>
  <c r="I26" i="15"/>
  <c r="J26" i="15"/>
  <c r="K26" i="15"/>
  <c r="L26" i="15"/>
  <c r="I27" i="15"/>
  <c r="J27" i="15"/>
  <c r="K27" i="15"/>
  <c r="L27" i="15"/>
  <c r="I28" i="15"/>
  <c r="J28" i="15"/>
  <c r="K28" i="15"/>
  <c r="L28" i="15"/>
  <c r="I29" i="15"/>
  <c r="J29" i="15"/>
  <c r="K29" i="15"/>
  <c r="L29" i="15"/>
  <c r="I30" i="15"/>
  <c r="J30" i="15"/>
  <c r="K30" i="15"/>
  <c r="L30" i="15"/>
  <c r="I31" i="15"/>
  <c r="J31" i="15"/>
  <c r="K31" i="15"/>
  <c r="L31" i="15"/>
  <c r="I32" i="15"/>
  <c r="J32" i="15"/>
  <c r="K32" i="15"/>
  <c r="L32" i="15"/>
  <c r="I33" i="15"/>
  <c r="J33" i="15"/>
  <c r="K33" i="15"/>
  <c r="L33" i="15"/>
  <c r="I34" i="15"/>
  <c r="J34" i="15"/>
  <c r="K34" i="15"/>
  <c r="L34" i="15"/>
  <c r="I37" i="15"/>
  <c r="J37" i="15"/>
  <c r="K37" i="15"/>
  <c r="L37" i="15"/>
  <c r="I38" i="15"/>
  <c r="J38" i="15"/>
  <c r="K38" i="15"/>
  <c r="L38" i="15"/>
  <c r="I39" i="15"/>
  <c r="J39" i="15"/>
  <c r="K39" i="15"/>
  <c r="L39" i="15"/>
  <c r="I40" i="15"/>
  <c r="J40" i="15"/>
  <c r="K40" i="15"/>
  <c r="L40" i="15"/>
  <c r="I41" i="15"/>
  <c r="J41" i="15"/>
  <c r="K41" i="15"/>
  <c r="L41" i="15"/>
  <c r="I42" i="15"/>
  <c r="J42" i="15"/>
  <c r="K42" i="15"/>
  <c r="L42" i="15"/>
  <c r="I43" i="15"/>
  <c r="J43" i="15"/>
  <c r="K43" i="15"/>
  <c r="L43" i="15"/>
  <c r="I44" i="15"/>
  <c r="J44" i="15"/>
  <c r="K44" i="15"/>
  <c r="L44" i="15"/>
  <c r="I45" i="15"/>
  <c r="J45" i="15"/>
  <c r="K45" i="15"/>
  <c r="L45" i="15"/>
  <c r="I46" i="15"/>
  <c r="J46" i="15"/>
  <c r="K46" i="15"/>
  <c r="L46" i="15"/>
  <c r="I49" i="15"/>
  <c r="J49" i="15"/>
  <c r="K49" i="15"/>
  <c r="L49" i="15"/>
  <c r="I50" i="15"/>
  <c r="J50" i="15"/>
  <c r="K50" i="15"/>
  <c r="L50" i="15"/>
  <c r="I51" i="15"/>
  <c r="J51" i="15"/>
  <c r="K51" i="15"/>
  <c r="L51" i="15"/>
  <c r="I52" i="15"/>
  <c r="J52" i="15"/>
  <c r="K52" i="15"/>
  <c r="L52" i="15"/>
  <c r="I53" i="15"/>
  <c r="J53" i="15"/>
  <c r="K53" i="15"/>
  <c r="L53" i="15"/>
  <c r="I54" i="15"/>
  <c r="J54" i="15"/>
  <c r="K54" i="15"/>
  <c r="L54" i="15"/>
  <c r="I55" i="15"/>
  <c r="J55" i="15"/>
  <c r="K55" i="15"/>
  <c r="L55" i="15"/>
  <c r="I73" i="15"/>
  <c r="J73" i="15"/>
  <c r="K73" i="15"/>
  <c r="L73" i="15"/>
  <c r="I74" i="15"/>
  <c r="J74" i="15"/>
  <c r="K74" i="15"/>
  <c r="L74" i="15"/>
  <c r="I75" i="15"/>
  <c r="J75" i="15"/>
  <c r="K75" i="15"/>
  <c r="L75" i="15"/>
  <c r="I76" i="15"/>
  <c r="J76" i="15"/>
  <c r="K76" i="15"/>
  <c r="L76" i="15"/>
  <c r="I77" i="15"/>
  <c r="J77" i="15"/>
  <c r="K77" i="15"/>
  <c r="L77" i="15"/>
  <c r="I78" i="15"/>
  <c r="J78" i="15"/>
  <c r="K78" i="15"/>
  <c r="L78" i="15"/>
  <c r="J6" i="15"/>
  <c r="K6" i="15"/>
  <c r="L6" i="15"/>
  <c r="I6" i="15"/>
  <c r="J3" i="15"/>
  <c r="K3" i="15"/>
  <c r="L3" i="15"/>
  <c r="I3" i="15"/>
  <c r="K1" i="15"/>
  <c r="I1" i="15"/>
  <c r="I7" i="14"/>
  <c r="J7" i="14"/>
  <c r="K7" i="14"/>
  <c r="L7" i="14"/>
  <c r="I9" i="14"/>
  <c r="J9" i="14"/>
  <c r="K9" i="14"/>
  <c r="L9" i="14"/>
  <c r="I10" i="14"/>
  <c r="J10" i="14"/>
  <c r="K10" i="14"/>
  <c r="L10" i="14"/>
  <c r="I11" i="14"/>
  <c r="J11" i="14"/>
  <c r="K11" i="14"/>
  <c r="L11" i="14"/>
  <c r="I12" i="14"/>
  <c r="J12" i="14"/>
  <c r="K12" i="14"/>
  <c r="L12" i="14"/>
  <c r="I13" i="14"/>
  <c r="J13" i="14"/>
  <c r="K13" i="14"/>
  <c r="L13" i="14"/>
  <c r="I14" i="14"/>
  <c r="J14" i="14"/>
  <c r="K14" i="14"/>
  <c r="L14" i="14"/>
  <c r="I15" i="14"/>
  <c r="J15" i="14"/>
  <c r="K15" i="14"/>
  <c r="L15" i="14"/>
  <c r="I16" i="14"/>
  <c r="J16" i="14"/>
  <c r="K16" i="14"/>
  <c r="L16" i="14"/>
  <c r="I17" i="14"/>
  <c r="J17" i="14"/>
  <c r="K17" i="14"/>
  <c r="L17" i="14"/>
  <c r="I18" i="14"/>
  <c r="J18" i="14"/>
  <c r="K18" i="14"/>
  <c r="L18" i="14"/>
  <c r="I19" i="14"/>
  <c r="J19" i="14"/>
  <c r="K19" i="14"/>
  <c r="L19" i="14"/>
  <c r="I20" i="14"/>
  <c r="J20" i="14"/>
  <c r="K20" i="14"/>
  <c r="L20" i="14"/>
  <c r="I21" i="14"/>
  <c r="J21" i="14"/>
  <c r="K21" i="14"/>
  <c r="L21" i="14"/>
  <c r="I22" i="14"/>
  <c r="J22" i="14"/>
  <c r="K22" i="14"/>
  <c r="L22" i="14"/>
  <c r="I23" i="14"/>
  <c r="J23" i="14"/>
  <c r="K23" i="14"/>
  <c r="L23" i="14"/>
  <c r="I24" i="14"/>
  <c r="J24" i="14"/>
  <c r="K24" i="14"/>
  <c r="L24" i="14"/>
  <c r="I25" i="14"/>
  <c r="J25" i="14"/>
  <c r="K25" i="14"/>
  <c r="L25" i="14"/>
  <c r="I26" i="14"/>
  <c r="J26" i="14"/>
  <c r="K26" i="14"/>
  <c r="L26" i="14"/>
  <c r="I27" i="14"/>
  <c r="J27" i="14"/>
  <c r="K27" i="14"/>
  <c r="L27" i="14"/>
  <c r="I28" i="14"/>
  <c r="J28" i="14"/>
  <c r="K28" i="14"/>
  <c r="L28" i="14"/>
  <c r="I29" i="14"/>
  <c r="J29" i="14"/>
  <c r="K29" i="14"/>
  <c r="L29" i="14"/>
  <c r="I30" i="14"/>
  <c r="J30" i="14"/>
  <c r="K30" i="14"/>
  <c r="L30" i="14"/>
  <c r="I31" i="14"/>
  <c r="J31" i="14"/>
  <c r="K31" i="14"/>
  <c r="L31" i="14"/>
  <c r="I32" i="14"/>
  <c r="J32" i="14"/>
  <c r="K32" i="14"/>
  <c r="L32" i="14"/>
  <c r="I33" i="14"/>
  <c r="J33" i="14"/>
  <c r="K33" i="14"/>
  <c r="L33" i="14"/>
  <c r="I34" i="14"/>
  <c r="J34" i="14"/>
  <c r="K34" i="14"/>
  <c r="L34" i="14"/>
  <c r="I37" i="14"/>
  <c r="J37" i="14"/>
  <c r="K37" i="14"/>
  <c r="L37" i="14"/>
  <c r="I38" i="14"/>
  <c r="J38" i="14"/>
  <c r="K38" i="14"/>
  <c r="L38" i="14"/>
  <c r="I39" i="14"/>
  <c r="J39" i="14"/>
  <c r="K39" i="14"/>
  <c r="L39" i="14"/>
  <c r="I40" i="14"/>
  <c r="J40" i="14"/>
  <c r="K40" i="14"/>
  <c r="L40" i="14"/>
  <c r="I41" i="14"/>
  <c r="J41" i="14"/>
  <c r="K41" i="14"/>
  <c r="L41" i="14"/>
  <c r="I42" i="14"/>
  <c r="J42" i="14"/>
  <c r="K42" i="14"/>
  <c r="L42" i="14"/>
  <c r="I43" i="14"/>
  <c r="J43" i="14"/>
  <c r="K43" i="14"/>
  <c r="L43" i="14"/>
  <c r="I44" i="14"/>
  <c r="J44" i="14"/>
  <c r="K44" i="14"/>
  <c r="L44" i="14"/>
  <c r="I45" i="14"/>
  <c r="J45" i="14"/>
  <c r="K45" i="14"/>
  <c r="L45" i="14"/>
  <c r="I46" i="14"/>
  <c r="J46" i="14"/>
  <c r="K46" i="14"/>
  <c r="L46" i="14"/>
  <c r="I49" i="14"/>
  <c r="J49" i="14"/>
  <c r="K49" i="14"/>
  <c r="L49" i="14"/>
  <c r="I50" i="14"/>
  <c r="J50" i="14"/>
  <c r="K50" i="14"/>
  <c r="L50" i="14"/>
  <c r="I51" i="14"/>
  <c r="J51" i="14"/>
  <c r="K51" i="14"/>
  <c r="L51" i="14"/>
  <c r="I52" i="14"/>
  <c r="J52" i="14"/>
  <c r="K52" i="14"/>
  <c r="L52" i="14"/>
  <c r="I53" i="14"/>
  <c r="J53" i="14"/>
  <c r="K53" i="14"/>
  <c r="L53" i="14"/>
  <c r="I54" i="14"/>
  <c r="J54" i="14"/>
  <c r="K54" i="14"/>
  <c r="L54" i="14"/>
  <c r="I55" i="14"/>
  <c r="J55" i="14"/>
  <c r="K55" i="14"/>
  <c r="L55" i="14"/>
  <c r="I73" i="14"/>
  <c r="J73" i="14"/>
  <c r="K73" i="14"/>
  <c r="L73" i="14"/>
  <c r="I74" i="14"/>
  <c r="J74" i="14"/>
  <c r="K74" i="14"/>
  <c r="L74" i="14"/>
  <c r="I75" i="14"/>
  <c r="J75" i="14"/>
  <c r="K75" i="14"/>
  <c r="L75" i="14"/>
  <c r="I76" i="14"/>
  <c r="J76" i="14"/>
  <c r="K76" i="14"/>
  <c r="L76" i="14"/>
  <c r="I77" i="14"/>
  <c r="J77" i="14"/>
  <c r="K77" i="14"/>
  <c r="L77" i="14"/>
  <c r="I78" i="14"/>
  <c r="J78" i="14"/>
  <c r="K78" i="14"/>
  <c r="L78" i="14"/>
  <c r="J6" i="14"/>
  <c r="K6" i="14"/>
  <c r="L6" i="14"/>
  <c r="I6" i="14"/>
  <c r="J3" i="14"/>
  <c r="K3" i="14"/>
  <c r="L3" i="14"/>
  <c r="I3" i="14"/>
  <c r="K1" i="14"/>
  <c r="I1" i="14"/>
  <c r="I7" i="12"/>
  <c r="J7" i="12"/>
  <c r="K7" i="12"/>
  <c r="L7" i="12"/>
  <c r="I9" i="12"/>
  <c r="J9" i="12"/>
  <c r="K9" i="12"/>
  <c r="L9" i="12"/>
  <c r="I10" i="12"/>
  <c r="J10" i="12"/>
  <c r="K10" i="12"/>
  <c r="L10" i="12"/>
  <c r="I11" i="12"/>
  <c r="J11" i="12"/>
  <c r="K11" i="12"/>
  <c r="L11" i="12"/>
  <c r="I12" i="12"/>
  <c r="J12" i="12"/>
  <c r="K12" i="12"/>
  <c r="L12" i="12"/>
  <c r="I13" i="12"/>
  <c r="J13" i="12"/>
  <c r="K13" i="12"/>
  <c r="L13" i="12"/>
  <c r="I14" i="12"/>
  <c r="J14" i="12"/>
  <c r="K14" i="12"/>
  <c r="L14" i="12"/>
  <c r="I15" i="12"/>
  <c r="J15" i="12"/>
  <c r="K15" i="12"/>
  <c r="L15" i="12"/>
  <c r="I16" i="12"/>
  <c r="J16" i="12"/>
  <c r="K16" i="12"/>
  <c r="L16" i="12"/>
  <c r="I17" i="12"/>
  <c r="J17" i="12"/>
  <c r="K17" i="12"/>
  <c r="L17" i="12"/>
  <c r="I18" i="12"/>
  <c r="J18" i="12"/>
  <c r="K18" i="12"/>
  <c r="L18" i="12"/>
  <c r="I19" i="12"/>
  <c r="J19" i="12"/>
  <c r="K19" i="12"/>
  <c r="L19" i="12"/>
  <c r="I20" i="12"/>
  <c r="J20" i="12"/>
  <c r="K20" i="12"/>
  <c r="L20" i="12"/>
  <c r="I21" i="12"/>
  <c r="J21" i="12"/>
  <c r="K21" i="12"/>
  <c r="L21" i="12"/>
  <c r="I22" i="12"/>
  <c r="J22" i="12"/>
  <c r="K22" i="12"/>
  <c r="L22" i="12"/>
  <c r="I23" i="12"/>
  <c r="J23" i="12"/>
  <c r="K23" i="12"/>
  <c r="L23" i="12"/>
  <c r="I24" i="12"/>
  <c r="J24" i="12"/>
  <c r="K24" i="12"/>
  <c r="L24" i="12"/>
  <c r="I25" i="12"/>
  <c r="J25" i="12"/>
  <c r="K25" i="12"/>
  <c r="L25" i="12"/>
  <c r="I26" i="12"/>
  <c r="J26" i="12"/>
  <c r="K26" i="12"/>
  <c r="L26" i="12"/>
  <c r="I27" i="12"/>
  <c r="J27" i="12"/>
  <c r="K27" i="12"/>
  <c r="L27" i="12"/>
  <c r="I28" i="12"/>
  <c r="J28" i="12"/>
  <c r="K28" i="12"/>
  <c r="L28" i="12"/>
  <c r="I29" i="12"/>
  <c r="J29" i="12"/>
  <c r="K29" i="12"/>
  <c r="L29" i="12"/>
  <c r="I30" i="12"/>
  <c r="J30" i="12"/>
  <c r="K30" i="12"/>
  <c r="L30" i="12"/>
  <c r="I31" i="12"/>
  <c r="J31" i="12"/>
  <c r="K31" i="12"/>
  <c r="L31" i="12"/>
  <c r="I32" i="12"/>
  <c r="J32" i="12"/>
  <c r="K32" i="12"/>
  <c r="L32" i="12"/>
  <c r="I33" i="12"/>
  <c r="J33" i="12"/>
  <c r="K33" i="12"/>
  <c r="L33" i="12"/>
  <c r="I34" i="12"/>
  <c r="J34" i="12"/>
  <c r="K34" i="12"/>
  <c r="L34" i="12"/>
  <c r="I37" i="12"/>
  <c r="J37" i="12"/>
  <c r="K37" i="12"/>
  <c r="L37" i="12"/>
  <c r="I38" i="12"/>
  <c r="J38" i="12"/>
  <c r="K38" i="12"/>
  <c r="L38" i="12"/>
  <c r="I39" i="12"/>
  <c r="J39" i="12"/>
  <c r="K39" i="12"/>
  <c r="L39" i="12"/>
  <c r="I40" i="12"/>
  <c r="J40" i="12"/>
  <c r="K40" i="12"/>
  <c r="L40" i="12"/>
  <c r="I41" i="12"/>
  <c r="J41" i="12"/>
  <c r="K41" i="12"/>
  <c r="L41" i="12"/>
  <c r="I42" i="12"/>
  <c r="J42" i="12"/>
  <c r="K42" i="12"/>
  <c r="L42" i="12"/>
  <c r="I43" i="12"/>
  <c r="J43" i="12"/>
  <c r="K43" i="12"/>
  <c r="L43" i="12"/>
  <c r="I44" i="12"/>
  <c r="J44" i="12"/>
  <c r="K44" i="12"/>
  <c r="L44" i="12"/>
  <c r="I45" i="12"/>
  <c r="J45" i="12"/>
  <c r="K45" i="12"/>
  <c r="L45" i="12"/>
  <c r="I46" i="12"/>
  <c r="J46" i="12"/>
  <c r="K46" i="12"/>
  <c r="L46" i="12"/>
  <c r="I49" i="12"/>
  <c r="J49" i="12"/>
  <c r="K49" i="12"/>
  <c r="L49" i="12"/>
  <c r="I50" i="12"/>
  <c r="J50" i="12"/>
  <c r="K50" i="12"/>
  <c r="L50" i="12"/>
  <c r="I51" i="12"/>
  <c r="J51" i="12"/>
  <c r="K51" i="12"/>
  <c r="L51" i="12"/>
  <c r="I52" i="12"/>
  <c r="J52" i="12"/>
  <c r="K52" i="12"/>
  <c r="L52" i="12"/>
  <c r="I53" i="12"/>
  <c r="J53" i="12"/>
  <c r="K53" i="12"/>
  <c r="L53" i="12"/>
  <c r="I54" i="12"/>
  <c r="J54" i="12"/>
  <c r="K54" i="12"/>
  <c r="L54" i="12"/>
  <c r="I55" i="12"/>
  <c r="J55" i="12"/>
  <c r="K55" i="12"/>
  <c r="L55" i="12"/>
  <c r="I73" i="12"/>
  <c r="J73" i="12"/>
  <c r="K73" i="12"/>
  <c r="L73" i="12"/>
  <c r="I74" i="12"/>
  <c r="J74" i="12"/>
  <c r="K74" i="12"/>
  <c r="L74" i="12"/>
  <c r="I75" i="12"/>
  <c r="J75" i="12"/>
  <c r="K75" i="12"/>
  <c r="L75" i="12"/>
  <c r="I76" i="12"/>
  <c r="J76" i="12"/>
  <c r="K76" i="12"/>
  <c r="L76" i="12"/>
  <c r="I77" i="12"/>
  <c r="J77" i="12"/>
  <c r="K77" i="12"/>
  <c r="L77" i="12"/>
  <c r="I78" i="12"/>
  <c r="J78" i="12"/>
  <c r="K78" i="12"/>
  <c r="L78" i="12"/>
  <c r="J6" i="12"/>
  <c r="K6" i="12"/>
  <c r="L6" i="12"/>
  <c r="I6" i="12"/>
  <c r="J3" i="12"/>
  <c r="K3" i="12"/>
  <c r="L3" i="12"/>
  <c r="I3" i="12"/>
  <c r="K1" i="12"/>
  <c r="I1" i="12"/>
  <c r="I59" i="9"/>
  <c r="J59" i="9"/>
  <c r="K59" i="9"/>
  <c r="L59" i="9"/>
  <c r="I60" i="9"/>
  <c r="J60" i="9"/>
  <c r="K60" i="9"/>
  <c r="L60" i="9"/>
  <c r="I61" i="9"/>
  <c r="J61" i="9"/>
  <c r="K61" i="9"/>
  <c r="L61" i="9"/>
  <c r="I62" i="9"/>
  <c r="J62" i="9"/>
  <c r="K62" i="9"/>
  <c r="L62" i="9"/>
  <c r="I63" i="9"/>
  <c r="J63" i="9"/>
  <c r="K63" i="9"/>
  <c r="L63" i="9"/>
  <c r="I64" i="9"/>
  <c r="J64" i="9"/>
  <c r="K64" i="9"/>
  <c r="L64" i="9"/>
  <c r="I65" i="9"/>
  <c r="J65" i="9"/>
  <c r="K65" i="9"/>
  <c r="L65" i="9"/>
  <c r="I66" i="9"/>
  <c r="J66" i="9"/>
  <c r="K66" i="9"/>
  <c r="L66" i="9"/>
  <c r="I67" i="9"/>
  <c r="J67" i="9"/>
  <c r="K67" i="9"/>
  <c r="L67" i="9"/>
  <c r="I68" i="9"/>
  <c r="J68" i="9"/>
  <c r="K68" i="9"/>
  <c r="L68" i="9"/>
  <c r="I69" i="9"/>
  <c r="J69" i="9"/>
  <c r="K69" i="9"/>
  <c r="L69" i="9"/>
  <c r="I70" i="9"/>
  <c r="J70" i="9"/>
  <c r="K70" i="9"/>
  <c r="L70" i="9"/>
  <c r="J58" i="9"/>
  <c r="K58" i="9"/>
  <c r="L58" i="9"/>
  <c r="I58" i="9"/>
  <c r="J3" i="9"/>
  <c r="K3" i="9"/>
  <c r="L3" i="9"/>
  <c r="I3" i="9"/>
  <c r="K1" i="9"/>
  <c r="I1" i="9"/>
  <c r="I7" i="8"/>
  <c r="J7" i="8"/>
  <c r="K7" i="8"/>
  <c r="L7" i="8"/>
  <c r="I9" i="8"/>
  <c r="J9" i="8"/>
  <c r="K9" i="8"/>
  <c r="L9" i="8"/>
  <c r="I10" i="8"/>
  <c r="J10" i="8"/>
  <c r="K10" i="8"/>
  <c r="L10" i="8"/>
  <c r="I11" i="8"/>
  <c r="J11" i="8"/>
  <c r="K11" i="8"/>
  <c r="L11" i="8"/>
  <c r="I12" i="8"/>
  <c r="J12" i="8"/>
  <c r="K12" i="8"/>
  <c r="L12" i="8"/>
  <c r="I13" i="8"/>
  <c r="J13" i="8"/>
  <c r="K13" i="8"/>
  <c r="L13" i="8"/>
  <c r="I14" i="8"/>
  <c r="J14" i="8"/>
  <c r="K14" i="8"/>
  <c r="L14" i="8"/>
  <c r="I15" i="8"/>
  <c r="J15" i="8"/>
  <c r="K15" i="8"/>
  <c r="L15" i="8"/>
  <c r="I16" i="8"/>
  <c r="J16" i="8"/>
  <c r="K16" i="8"/>
  <c r="L16" i="8"/>
  <c r="I17" i="8"/>
  <c r="J17" i="8"/>
  <c r="K17" i="8"/>
  <c r="L17" i="8"/>
  <c r="I18" i="8"/>
  <c r="J18" i="8"/>
  <c r="K18" i="8"/>
  <c r="L18" i="8"/>
  <c r="I19" i="8"/>
  <c r="J19" i="8"/>
  <c r="K19" i="8"/>
  <c r="L19" i="8"/>
  <c r="I20" i="8"/>
  <c r="J20" i="8"/>
  <c r="K20" i="8"/>
  <c r="L20" i="8"/>
  <c r="I21" i="8"/>
  <c r="J21" i="8"/>
  <c r="K21" i="8"/>
  <c r="L21" i="8"/>
  <c r="I22" i="8"/>
  <c r="J22" i="8"/>
  <c r="K22" i="8"/>
  <c r="L22" i="8"/>
  <c r="I23" i="8"/>
  <c r="J23" i="8"/>
  <c r="K23" i="8"/>
  <c r="L23" i="8"/>
  <c r="I24" i="8"/>
  <c r="J24" i="8"/>
  <c r="K24" i="8"/>
  <c r="L24" i="8"/>
  <c r="I25" i="8"/>
  <c r="J25" i="8"/>
  <c r="K25" i="8"/>
  <c r="L25" i="8"/>
  <c r="I26" i="8"/>
  <c r="J26" i="8"/>
  <c r="K26" i="8"/>
  <c r="L26" i="8"/>
  <c r="I27" i="8"/>
  <c r="J27" i="8"/>
  <c r="K27" i="8"/>
  <c r="L27" i="8"/>
  <c r="I28" i="8"/>
  <c r="J28" i="8"/>
  <c r="K28" i="8"/>
  <c r="L28" i="8"/>
  <c r="I29" i="8"/>
  <c r="J29" i="8"/>
  <c r="K29" i="8"/>
  <c r="L29" i="8"/>
  <c r="I30" i="8"/>
  <c r="J30" i="8"/>
  <c r="K30" i="8"/>
  <c r="L30" i="8"/>
  <c r="I31" i="8"/>
  <c r="J31" i="8"/>
  <c r="K31" i="8"/>
  <c r="L31" i="8"/>
  <c r="I32" i="8"/>
  <c r="J32" i="8"/>
  <c r="K32" i="8"/>
  <c r="L32" i="8"/>
  <c r="I33" i="8"/>
  <c r="J33" i="8"/>
  <c r="K33" i="8"/>
  <c r="L33" i="8"/>
  <c r="I34" i="8"/>
  <c r="J34" i="8"/>
  <c r="K34" i="8"/>
  <c r="L34" i="8"/>
  <c r="I37" i="8"/>
  <c r="J37" i="8"/>
  <c r="K37" i="8"/>
  <c r="L37" i="8"/>
  <c r="I38" i="8"/>
  <c r="J38" i="8"/>
  <c r="K38" i="8"/>
  <c r="L38" i="8"/>
  <c r="I39" i="8"/>
  <c r="J39" i="8"/>
  <c r="K39" i="8"/>
  <c r="L39" i="8"/>
  <c r="I40" i="8"/>
  <c r="J40" i="8"/>
  <c r="K40" i="8"/>
  <c r="L40" i="8"/>
  <c r="I41" i="8"/>
  <c r="J41" i="8"/>
  <c r="K41" i="8"/>
  <c r="L41" i="8"/>
  <c r="I42" i="8"/>
  <c r="J42" i="8"/>
  <c r="K42" i="8"/>
  <c r="L42" i="8"/>
  <c r="I43" i="8"/>
  <c r="J43" i="8"/>
  <c r="K43" i="8"/>
  <c r="L43" i="8"/>
  <c r="I44" i="8"/>
  <c r="J44" i="8"/>
  <c r="K44" i="8"/>
  <c r="L44" i="8"/>
  <c r="I45" i="8"/>
  <c r="J45" i="8"/>
  <c r="K45" i="8"/>
  <c r="L45" i="8"/>
  <c r="I46" i="8"/>
  <c r="J46" i="8"/>
  <c r="K46" i="8"/>
  <c r="L46" i="8"/>
  <c r="I49" i="8"/>
  <c r="J49" i="8"/>
  <c r="K49" i="8"/>
  <c r="L49" i="8"/>
  <c r="I50" i="8"/>
  <c r="J50" i="8"/>
  <c r="K50" i="8"/>
  <c r="L50" i="8"/>
  <c r="I51" i="8"/>
  <c r="J51" i="8"/>
  <c r="K51" i="8"/>
  <c r="L51" i="8"/>
  <c r="I52" i="8"/>
  <c r="J52" i="8"/>
  <c r="K52" i="8"/>
  <c r="L52" i="8"/>
  <c r="I53" i="8"/>
  <c r="J53" i="8"/>
  <c r="K53" i="8"/>
  <c r="L53" i="8"/>
  <c r="I54" i="8"/>
  <c r="J54" i="8"/>
  <c r="K54" i="8"/>
  <c r="L54" i="8"/>
  <c r="I55" i="8"/>
  <c r="J55" i="8"/>
  <c r="K55" i="8"/>
  <c r="L55" i="8"/>
  <c r="I73" i="8"/>
  <c r="J73" i="8"/>
  <c r="K73" i="8"/>
  <c r="L73" i="8"/>
  <c r="I74" i="8"/>
  <c r="J74" i="8"/>
  <c r="K74" i="8"/>
  <c r="L74" i="8"/>
  <c r="I75" i="8"/>
  <c r="J75" i="8"/>
  <c r="K75" i="8"/>
  <c r="L75" i="8"/>
  <c r="I76" i="8"/>
  <c r="J76" i="8"/>
  <c r="K76" i="8"/>
  <c r="L76" i="8"/>
  <c r="I77" i="8"/>
  <c r="J77" i="8"/>
  <c r="K77" i="8"/>
  <c r="L77" i="8"/>
  <c r="I78" i="8"/>
  <c r="J78" i="8"/>
  <c r="K78" i="8"/>
  <c r="L78" i="8"/>
  <c r="J6" i="8"/>
  <c r="K6" i="8"/>
  <c r="L6" i="8"/>
  <c r="I6" i="8"/>
  <c r="J3" i="8"/>
  <c r="K3" i="8"/>
  <c r="L3" i="8"/>
  <c r="I3" i="8"/>
  <c r="K1" i="8"/>
  <c r="I1" i="8"/>
  <c r="I82" i="6"/>
  <c r="J82" i="6"/>
  <c r="K82" i="6"/>
  <c r="L82" i="6"/>
  <c r="I83" i="6"/>
  <c r="J83" i="6"/>
  <c r="K83" i="6"/>
  <c r="L83" i="6"/>
  <c r="I84" i="6"/>
  <c r="J84" i="6"/>
  <c r="K84" i="6"/>
  <c r="L84" i="6"/>
  <c r="I85" i="6"/>
  <c r="J85" i="6"/>
  <c r="K85" i="6"/>
  <c r="L85" i="6"/>
  <c r="I86" i="6"/>
  <c r="J86" i="6"/>
  <c r="K86" i="6"/>
  <c r="L86" i="6"/>
  <c r="I87" i="6"/>
  <c r="J87" i="6"/>
  <c r="K87" i="6"/>
  <c r="L87" i="6"/>
  <c r="I88" i="6"/>
  <c r="J88" i="6"/>
  <c r="K88" i="6"/>
  <c r="L88" i="6"/>
  <c r="I89" i="6"/>
  <c r="J89" i="6"/>
  <c r="K89" i="6"/>
  <c r="L89" i="6"/>
  <c r="I90" i="6"/>
  <c r="J90" i="6"/>
  <c r="K90" i="6"/>
  <c r="L90" i="6"/>
  <c r="I91" i="6"/>
  <c r="J91" i="6"/>
  <c r="K91" i="6"/>
  <c r="L91" i="6"/>
  <c r="I92" i="6"/>
  <c r="J92" i="6"/>
  <c r="K92" i="6"/>
  <c r="L92" i="6"/>
  <c r="I93" i="6"/>
  <c r="J93" i="6"/>
  <c r="K93" i="6"/>
  <c r="L93" i="6"/>
  <c r="J81" i="6"/>
  <c r="K81" i="6"/>
  <c r="L81" i="6"/>
  <c r="I81" i="6"/>
  <c r="J3" i="6"/>
  <c r="K3" i="6"/>
  <c r="L3" i="6"/>
  <c r="I3" i="6"/>
  <c r="K1" i="6"/>
  <c r="I1" i="6"/>
  <c r="I7" i="5"/>
  <c r="J7" i="5"/>
  <c r="K7" i="5"/>
  <c r="L7" i="5"/>
  <c r="I9" i="5"/>
  <c r="J9" i="5"/>
  <c r="K9" i="5"/>
  <c r="L9" i="5"/>
  <c r="I10" i="5"/>
  <c r="J10" i="5"/>
  <c r="K10" i="5"/>
  <c r="L10" i="5"/>
  <c r="I11" i="5"/>
  <c r="J11" i="5"/>
  <c r="K11" i="5"/>
  <c r="L11" i="5"/>
  <c r="I12" i="5"/>
  <c r="J12" i="5"/>
  <c r="K12" i="5"/>
  <c r="L12" i="5"/>
  <c r="I13" i="5"/>
  <c r="J13" i="5"/>
  <c r="K13" i="5"/>
  <c r="L13" i="5"/>
  <c r="I14" i="5"/>
  <c r="J14" i="5"/>
  <c r="K14" i="5"/>
  <c r="L14" i="5"/>
  <c r="I15" i="5"/>
  <c r="J15" i="5"/>
  <c r="K15" i="5"/>
  <c r="L15" i="5"/>
  <c r="I16" i="5"/>
  <c r="J16" i="5"/>
  <c r="K16" i="5"/>
  <c r="L16" i="5"/>
  <c r="I17" i="5"/>
  <c r="J17" i="5"/>
  <c r="K17" i="5"/>
  <c r="L17" i="5"/>
  <c r="I18" i="5"/>
  <c r="J18" i="5"/>
  <c r="K18" i="5"/>
  <c r="L18" i="5"/>
  <c r="I19" i="5"/>
  <c r="J19" i="5"/>
  <c r="K19" i="5"/>
  <c r="L19" i="5"/>
  <c r="I20" i="5"/>
  <c r="J20" i="5"/>
  <c r="K20" i="5"/>
  <c r="L20" i="5"/>
  <c r="I21" i="5"/>
  <c r="J21" i="5"/>
  <c r="K21" i="5"/>
  <c r="L21" i="5"/>
  <c r="I22" i="5"/>
  <c r="J22" i="5"/>
  <c r="K22" i="5"/>
  <c r="L22" i="5"/>
  <c r="I23" i="5"/>
  <c r="J23" i="5"/>
  <c r="K23" i="5"/>
  <c r="L23" i="5"/>
  <c r="I24" i="5"/>
  <c r="J24" i="5"/>
  <c r="K24" i="5"/>
  <c r="L24" i="5"/>
  <c r="I25" i="5"/>
  <c r="J25" i="5"/>
  <c r="K25" i="5"/>
  <c r="L25" i="5"/>
  <c r="I26" i="5"/>
  <c r="J26" i="5"/>
  <c r="K26" i="5"/>
  <c r="L26" i="5"/>
  <c r="I27" i="5"/>
  <c r="J27" i="5"/>
  <c r="K27" i="5"/>
  <c r="L27" i="5"/>
  <c r="I28" i="5"/>
  <c r="J28" i="5"/>
  <c r="K28" i="5"/>
  <c r="L28" i="5"/>
  <c r="I29" i="5"/>
  <c r="J29" i="5"/>
  <c r="K29" i="5"/>
  <c r="L29" i="5"/>
  <c r="I30" i="5"/>
  <c r="J30" i="5"/>
  <c r="K30" i="5"/>
  <c r="L30" i="5"/>
  <c r="I31" i="5"/>
  <c r="J31" i="5"/>
  <c r="K31" i="5"/>
  <c r="L31" i="5"/>
  <c r="I32" i="5"/>
  <c r="J32" i="5"/>
  <c r="K32" i="5"/>
  <c r="L32" i="5"/>
  <c r="I33" i="5"/>
  <c r="J33" i="5"/>
  <c r="K33" i="5"/>
  <c r="L33" i="5"/>
  <c r="I34" i="5"/>
  <c r="J34" i="5"/>
  <c r="K34" i="5"/>
  <c r="L34" i="5"/>
  <c r="I37" i="5"/>
  <c r="J37" i="5"/>
  <c r="K37" i="5"/>
  <c r="L37" i="5"/>
  <c r="I38" i="5"/>
  <c r="J38" i="5"/>
  <c r="K38" i="5"/>
  <c r="L38" i="5"/>
  <c r="I39" i="5"/>
  <c r="J39" i="5"/>
  <c r="K39" i="5"/>
  <c r="L39" i="5"/>
  <c r="I40" i="5"/>
  <c r="J40" i="5"/>
  <c r="K40" i="5"/>
  <c r="L40" i="5"/>
  <c r="I41" i="5"/>
  <c r="J41" i="5"/>
  <c r="K41" i="5"/>
  <c r="L41" i="5"/>
  <c r="I42" i="5"/>
  <c r="J42" i="5"/>
  <c r="K42" i="5"/>
  <c r="L42" i="5"/>
  <c r="I43" i="5"/>
  <c r="J43" i="5"/>
  <c r="K43" i="5"/>
  <c r="L43" i="5"/>
  <c r="I44" i="5"/>
  <c r="J44" i="5"/>
  <c r="K44" i="5"/>
  <c r="L44" i="5"/>
  <c r="I45" i="5"/>
  <c r="J45" i="5"/>
  <c r="K45" i="5"/>
  <c r="L45" i="5"/>
  <c r="I46" i="5"/>
  <c r="J46" i="5"/>
  <c r="K46" i="5"/>
  <c r="L46" i="5"/>
  <c r="I49" i="5"/>
  <c r="J49" i="5"/>
  <c r="K49" i="5"/>
  <c r="L49" i="5"/>
  <c r="I50" i="5"/>
  <c r="J50" i="5"/>
  <c r="K50" i="5"/>
  <c r="L50" i="5"/>
  <c r="I51" i="5"/>
  <c r="J51" i="5"/>
  <c r="K51" i="5"/>
  <c r="L51" i="5"/>
  <c r="I52" i="5"/>
  <c r="J52" i="5"/>
  <c r="K52" i="5"/>
  <c r="L52" i="5"/>
  <c r="I53" i="5"/>
  <c r="J53" i="5"/>
  <c r="K53" i="5"/>
  <c r="L53" i="5"/>
  <c r="I54" i="5"/>
  <c r="J54" i="5"/>
  <c r="K54" i="5"/>
  <c r="L54" i="5"/>
  <c r="I55" i="5"/>
  <c r="J55" i="5"/>
  <c r="K55" i="5"/>
  <c r="L55" i="5"/>
  <c r="I73" i="5"/>
  <c r="J73" i="5"/>
  <c r="K73" i="5"/>
  <c r="L73" i="5"/>
  <c r="I74" i="5"/>
  <c r="J74" i="5"/>
  <c r="K74" i="5"/>
  <c r="L74" i="5"/>
  <c r="I75" i="5"/>
  <c r="J75" i="5"/>
  <c r="K75" i="5"/>
  <c r="L75" i="5"/>
  <c r="I76" i="5"/>
  <c r="J76" i="5"/>
  <c r="K76" i="5"/>
  <c r="L76" i="5"/>
  <c r="I77" i="5"/>
  <c r="J77" i="5"/>
  <c r="K77" i="5"/>
  <c r="L77" i="5"/>
  <c r="I78" i="5"/>
  <c r="J78" i="5"/>
  <c r="K78" i="5"/>
  <c r="L78" i="5"/>
  <c r="J6" i="5"/>
  <c r="K6" i="5"/>
  <c r="L6" i="5"/>
  <c r="I6" i="5"/>
  <c r="J3" i="5"/>
  <c r="K3" i="5"/>
  <c r="L3" i="5"/>
  <c r="I3" i="5"/>
  <c r="K1" i="5"/>
  <c r="I1" i="5"/>
  <c r="I81" i="3"/>
  <c r="J81" i="3"/>
  <c r="K81" i="3"/>
  <c r="L81" i="3"/>
  <c r="I82" i="3"/>
  <c r="J82" i="3"/>
  <c r="K82" i="3"/>
  <c r="L82" i="3"/>
  <c r="I83" i="3"/>
  <c r="J83" i="3"/>
  <c r="K83" i="3"/>
  <c r="L83" i="3"/>
  <c r="I84" i="3"/>
  <c r="J84" i="3"/>
  <c r="K84" i="3"/>
  <c r="L84" i="3"/>
  <c r="I85" i="3"/>
  <c r="J85" i="3"/>
  <c r="K85" i="3"/>
  <c r="L85" i="3"/>
  <c r="I86" i="3"/>
  <c r="J86" i="3"/>
  <c r="K86" i="3"/>
  <c r="L86" i="3"/>
  <c r="I87" i="3"/>
  <c r="J87" i="3"/>
  <c r="K87" i="3"/>
  <c r="L87" i="3"/>
  <c r="I88" i="3"/>
  <c r="J88" i="3"/>
  <c r="K88" i="3"/>
  <c r="L88" i="3"/>
  <c r="I89" i="3"/>
  <c r="J89" i="3"/>
  <c r="K89" i="3"/>
  <c r="L89" i="3"/>
  <c r="I90" i="3"/>
  <c r="J90" i="3"/>
  <c r="K90" i="3"/>
  <c r="L90" i="3"/>
  <c r="I91" i="3"/>
  <c r="J91" i="3"/>
  <c r="K91" i="3"/>
  <c r="L91" i="3"/>
  <c r="I92" i="3"/>
  <c r="J92" i="3"/>
  <c r="K92" i="3"/>
  <c r="L92" i="3"/>
  <c r="J80" i="3"/>
  <c r="K80" i="3"/>
  <c r="L80" i="3"/>
  <c r="I80" i="3"/>
  <c r="J3" i="3"/>
  <c r="K3" i="3"/>
  <c r="L3" i="3"/>
  <c r="I3" i="3"/>
  <c r="K1" i="3"/>
  <c r="I1" i="3"/>
  <c r="I7" i="4"/>
  <c r="J7" i="4"/>
  <c r="K7" i="4"/>
  <c r="L7" i="4"/>
  <c r="I9" i="4"/>
  <c r="J9" i="4"/>
  <c r="K9" i="4"/>
  <c r="L9" i="4"/>
  <c r="I10" i="4"/>
  <c r="J10" i="4"/>
  <c r="K10" i="4"/>
  <c r="L10" i="4"/>
  <c r="I11" i="4"/>
  <c r="J11" i="4"/>
  <c r="K11" i="4"/>
  <c r="L11" i="4"/>
  <c r="I12" i="4"/>
  <c r="J12" i="4"/>
  <c r="K12" i="4"/>
  <c r="L12" i="4"/>
  <c r="I13" i="4"/>
  <c r="J13" i="4"/>
  <c r="K13" i="4"/>
  <c r="L13" i="4"/>
  <c r="I14" i="4"/>
  <c r="J14" i="4"/>
  <c r="K14" i="4"/>
  <c r="L14" i="4"/>
  <c r="I15" i="4"/>
  <c r="J15" i="4"/>
  <c r="K15" i="4"/>
  <c r="L15" i="4"/>
  <c r="I16" i="4"/>
  <c r="J16" i="4"/>
  <c r="K16" i="4"/>
  <c r="L16" i="4"/>
  <c r="I17" i="4"/>
  <c r="J17" i="4"/>
  <c r="K17" i="4"/>
  <c r="L17" i="4"/>
  <c r="I18" i="4"/>
  <c r="J18" i="4"/>
  <c r="K18" i="4"/>
  <c r="L18" i="4"/>
  <c r="I19" i="4"/>
  <c r="J19" i="4"/>
  <c r="K19" i="4"/>
  <c r="L19" i="4"/>
  <c r="I20" i="4"/>
  <c r="J20" i="4"/>
  <c r="K20" i="4"/>
  <c r="L20" i="4"/>
  <c r="I21" i="4"/>
  <c r="J21" i="4"/>
  <c r="K21" i="4"/>
  <c r="L21" i="4"/>
  <c r="I22" i="4"/>
  <c r="J22" i="4"/>
  <c r="K22" i="4"/>
  <c r="L22" i="4"/>
  <c r="I23" i="4"/>
  <c r="J23" i="4"/>
  <c r="K23" i="4"/>
  <c r="L23" i="4"/>
  <c r="I24" i="4"/>
  <c r="J24" i="4"/>
  <c r="K24" i="4"/>
  <c r="L24" i="4"/>
  <c r="I25" i="4"/>
  <c r="J25" i="4"/>
  <c r="K25" i="4"/>
  <c r="L25" i="4"/>
  <c r="I26" i="4"/>
  <c r="J26" i="4"/>
  <c r="K26" i="4"/>
  <c r="L26" i="4"/>
  <c r="I27" i="4"/>
  <c r="J27" i="4"/>
  <c r="K27" i="4"/>
  <c r="L27" i="4"/>
  <c r="I28" i="4"/>
  <c r="J28" i="4"/>
  <c r="K28" i="4"/>
  <c r="L28" i="4"/>
  <c r="I29" i="4"/>
  <c r="J29" i="4"/>
  <c r="K29" i="4"/>
  <c r="L29" i="4"/>
  <c r="I30" i="4"/>
  <c r="J30" i="4"/>
  <c r="K30" i="4"/>
  <c r="L30" i="4"/>
  <c r="I31" i="4"/>
  <c r="J31" i="4"/>
  <c r="K31" i="4"/>
  <c r="L31" i="4"/>
  <c r="I32" i="4"/>
  <c r="J32" i="4"/>
  <c r="K32" i="4"/>
  <c r="L32" i="4"/>
  <c r="I33" i="4"/>
  <c r="J33" i="4"/>
  <c r="K33" i="4"/>
  <c r="L33" i="4"/>
  <c r="I34" i="4"/>
  <c r="J34" i="4"/>
  <c r="K34" i="4"/>
  <c r="L34" i="4"/>
  <c r="I37" i="4"/>
  <c r="J37" i="4"/>
  <c r="K37" i="4"/>
  <c r="L37" i="4"/>
  <c r="I38" i="4"/>
  <c r="J38" i="4"/>
  <c r="K38" i="4"/>
  <c r="L38" i="4"/>
  <c r="I39" i="4"/>
  <c r="J39" i="4"/>
  <c r="K39" i="4"/>
  <c r="L39" i="4"/>
  <c r="I40" i="4"/>
  <c r="J40" i="4"/>
  <c r="K40" i="4"/>
  <c r="L40" i="4"/>
  <c r="I41" i="4"/>
  <c r="J41" i="4"/>
  <c r="K41" i="4"/>
  <c r="L41" i="4"/>
  <c r="I42" i="4"/>
  <c r="J42" i="4"/>
  <c r="K42" i="4"/>
  <c r="L42" i="4"/>
  <c r="I43" i="4"/>
  <c r="J43" i="4"/>
  <c r="K43" i="4"/>
  <c r="L43" i="4"/>
  <c r="I44" i="4"/>
  <c r="J44" i="4"/>
  <c r="K44" i="4"/>
  <c r="L44" i="4"/>
  <c r="I45" i="4"/>
  <c r="J45" i="4"/>
  <c r="K45" i="4"/>
  <c r="L45" i="4"/>
  <c r="I46" i="4"/>
  <c r="J46" i="4"/>
  <c r="K46" i="4"/>
  <c r="L46" i="4"/>
  <c r="I49" i="4"/>
  <c r="J49" i="4"/>
  <c r="K49" i="4"/>
  <c r="L49" i="4"/>
  <c r="I50" i="4"/>
  <c r="J50" i="4"/>
  <c r="K50" i="4"/>
  <c r="L50" i="4"/>
  <c r="I51" i="4"/>
  <c r="J51" i="4"/>
  <c r="K51" i="4"/>
  <c r="L51" i="4"/>
  <c r="I52" i="4"/>
  <c r="J52" i="4"/>
  <c r="K52" i="4"/>
  <c r="L52" i="4"/>
  <c r="I53" i="4"/>
  <c r="J53" i="4"/>
  <c r="K53" i="4"/>
  <c r="L53" i="4"/>
  <c r="I54" i="4"/>
  <c r="J54" i="4"/>
  <c r="K54" i="4"/>
  <c r="L54" i="4"/>
  <c r="I55" i="4"/>
  <c r="J55" i="4"/>
  <c r="K55" i="4"/>
  <c r="L55" i="4"/>
  <c r="I73" i="4"/>
  <c r="J73" i="4"/>
  <c r="K73" i="4"/>
  <c r="L73" i="4"/>
  <c r="I74" i="4"/>
  <c r="J74" i="4"/>
  <c r="K74" i="4"/>
  <c r="L74" i="4"/>
  <c r="I75" i="4"/>
  <c r="J75" i="4"/>
  <c r="K75" i="4"/>
  <c r="L75" i="4"/>
  <c r="I76" i="4"/>
  <c r="J76" i="4"/>
  <c r="K76" i="4"/>
  <c r="L76" i="4"/>
  <c r="I77" i="4"/>
  <c r="J77" i="4"/>
  <c r="K77" i="4"/>
  <c r="L77" i="4"/>
  <c r="I78" i="4"/>
  <c r="J78" i="4"/>
  <c r="K78" i="4"/>
  <c r="L78" i="4"/>
  <c r="J6" i="4"/>
  <c r="K6" i="4"/>
  <c r="L6" i="4"/>
  <c r="I6" i="4"/>
  <c r="J3" i="4"/>
  <c r="K3" i="4"/>
  <c r="L3" i="4"/>
  <c r="I3" i="4"/>
  <c r="K1" i="4"/>
  <c r="I1" i="4"/>
  <c r="C78" i="1" l="1"/>
  <c r="C74" i="1"/>
  <c r="C46" i="1"/>
  <c r="C42" i="1"/>
  <c r="C38" i="1"/>
  <c r="C70" i="1"/>
  <c r="C66" i="1"/>
  <c r="C62" i="1"/>
  <c r="B93" i="8"/>
  <c r="A93" i="8"/>
  <c r="B92" i="8"/>
  <c r="A92" i="8"/>
  <c r="B91" i="8"/>
  <c r="A91" i="8"/>
  <c r="B90" i="8"/>
  <c r="A90" i="8"/>
  <c r="B89" i="8"/>
  <c r="A89" i="8"/>
  <c r="B88" i="8"/>
  <c r="A88" i="8"/>
  <c r="B87" i="8"/>
  <c r="A87" i="8"/>
  <c r="B86" i="8"/>
  <c r="A86" i="8"/>
  <c r="B85" i="8"/>
  <c r="A85" i="8"/>
  <c r="B84" i="8"/>
  <c r="A84" i="8"/>
  <c r="B83" i="8"/>
  <c r="A83" i="8"/>
  <c r="B82" i="8"/>
  <c r="A82" i="8"/>
  <c r="B81" i="8"/>
  <c r="A81" i="8"/>
  <c r="B78" i="8"/>
  <c r="A78" i="8"/>
  <c r="B77" i="8"/>
  <c r="A77" i="8"/>
  <c r="B76" i="8"/>
  <c r="A76" i="8"/>
  <c r="B75" i="8"/>
  <c r="A75" i="8"/>
  <c r="B74" i="8"/>
  <c r="A74" i="8"/>
  <c r="B73" i="8"/>
  <c r="B70" i="8"/>
  <c r="A70" i="8"/>
  <c r="B69" i="8"/>
  <c r="A69" i="8"/>
  <c r="B68" i="8"/>
  <c r="A68" i="8"/>
  <c r="B67" i="8"/>
  <c r="A67" i="8"/>
  <c r="B66" i="8"/>
  <c r="A66" i="8"/>
  <c r="B65" i="8"/>
  <c r="A65" i="8"/>
  <c r="B64" i="8"/>
  <c r="A64" i="8"/>
  <c r="B63" i="8"/>
  <c r="A63" i="8"/>
  <c r="B62" i="8"/>
  <c r="A62" i="8"/>
  <c r="B61" i="8"/>
  <c r="A61" i="8"/>
  <c r="B60" i="8"/>
  <c r="A60" i="8"/>
  <c r="B59" i="8"/>
  <c r="A59" i="8"/>
  <c r="B58" i="8"/>
  <c r="A58" i="8"/>
  <c r="B55" i="8"/>
  <c r="A55" i="8"/>
  <c r="B54" i="8"/>
  <c r="A54" i="8"/>
  <c r="B53" i="8"/>
  <c r="A53" i="8"/>
  <c r="B52" i="8"/>
  <c r="A52" i="8"/>
  <c r="B51" i="8"/>
  <c r="A51" i="8"/>
  <c r="B50" i="8"/>
  <c r="A50" i="8"/>
  <c r="B49" i="8"/>
  <c r="A49" i="8"/>
  <c r="B46" i="8"/>
  <c r="A46" i="8"/>
  <c r="B45" i="8"/>
  <c r="A45" i="8"/>
  <c r="B44" i="8"/>
  <c r="A44" i="8"/>
  <c r="B43" i="8"/>
  <c r="A43" i="8"/>
  <c r="B42" i="8"/>
  <c r="A42" i="8"/>
  <c r="B41" i="8"/>
  <c r="A41" i="8"/>
  <c r="B40" i="8"/>
  <c r="A40" i="8"/>
  <c r="B39" i="8"/>
  <c r="A39" i="8"/>
  <c r="B38" i="8"/>
  <c r="A38" i="8"/>
  <c r="B37" i="8"/>
  <c r="A37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</calcChain>
</file>

<file path=xl/comments1.xml><?xml version="1.0" encoding="utf-8"?>
<comments xmlns="http://schemas.openxmlformats.org/spreadsheetml/2006/main">
  <authors>
    <author>Антон Чугунов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Антон Чугунов:</t>
        </r>
        <r>
          <rPr>
            <sz val="9"/>
            <color indexed="81"/>
            <rFont val="Tahoma"/>
            <charset val="1"/>
          </rPr>
          <t xml:space="preserve">
Дважды нормализованная</t>
        </r>
      </text>
    </comment>
  </commentList>
</comments>
</file>

<file path=xl/sharedStrings.xml><?xml version="1.0" encoding="utf-8"?>
<sst xmlns="http://schemas.openxmlformats.org/spreadsheetml/2006/main" count="2030" uniqueCount="217">
  <si>
    <t>Лучшая обзорная статья</t>
  </si>
  <si>
    <t>Лучшее новостное сообщение</t>
  </si>
  <si>
    <t>Лучший пресс-релиз по теме своей научной работы</t>
  </si>
  <si>
    <t>Номинация / Работа</t>
  </si>
  <si>
    <t>Автор</t>
  </si>
  <si>
    <t>Доступность изложения</t>
  </si>
  <si>
    <t>Авторский стиль</t>
  </si>
  <si>
    <t>Научная состовляющая</t>
  </si>
  <si>
    <t>* по каждому критерию необходимо внести свою оценку:</t>
  </si>
  <si>
    <t>1 - "очень плохо"</t>
  </si>
  <si>
    <t>2 - "плохо"</t>
  </si>
  <si>
    <t>3 - "удовлетворительно"</t>
  </si>
  <si>
    <t>4 - "хорошо"</t>
  </si>
  <si>
    <t>5 - "отлично"</t>
  </si>
  <si>
    <t>ФИО члена жюри:</t>
  </si>
  <si>
    <t>Актуальность темы</t>
  </si>
  <si>
    <t>Оценка*</t>
  </si>
  <si>
    <t>Дата публикации</t>
  </si>
  <si>
    <t>Лучшая статья по иммунологии</t>
  </si>
  <si>
    <t>Лучшая статья о механизмах старения и долголетия</t>
  </si>
  <si>
    <t>Наглядно о ненаглядном</t>
  </si>
  <si>
    <t>От живого к неживому и обратно</t>
  </si>
  <si>
    <t>Пучков Евгений</t>
  </si>
  <si>
    <t>Обнаружены управляемые светом анионные каналы</t>
  </si>
  <si>
    <t>Боголюбова Аполлинария</t>
  </si>
  <si>
    <t>Шестое ДНК-основание: от открытия до признания</t>
  </si>
  <si>
    <t>Соколова Екатерина</t>
  </si>
  <si>
    <t>Археи «хамят» и помогают</t>
  </si>
  <si>
    <t>Конышев Илья</t>
  </si>
  <si>
    <t>Враг моего врага — мой друг. Как бактерии и вирусы помогают создавать антитела для лечения человека</t>
  </si>
  <si>
    <t>Павлова Екатерина</t>
  </si>
  <si>
    <t>Манипулирование. I. Паразитное манипулирование</t>
  </si>
  <si>
    <t>Аккизов Азамат</t>
  </si>
  <si>
    <t>Манипулирование. II. Эмбриональное манипулирование</t>
  </si>
  <si>
    <t>100 лет хромосомной теории наследственности (1915–2015)</t>
  </si>
  <si>
    <t>Коряков Дмитрий</t>
  </si>
  <si>
    <t>Экстрим в природе</t>
  </si>
  <si>
    <t>Лильина Анастасия</t>
  </si>
  <si>
    <t>Всё, что вы всегда хотели знать о взрослом нейрогенезе, но боялись спросить</t>
  </si>
  <si>
    <t>Ташкеев Александр</t>
  </si>
  <si>
    <t>В поисках клеток для ИПСК — шаг за шагом к медицине будущего</t>
  </si>
  <si>
    <t>Алексеева Евгения</t>
  </si>
  <si>
    <t>Синтетическая жизнь</t>
  </si>
  <si>
    <t>Султанов Даниэль</t>
  </si>
  <si>
    <t>«Зеленые» революционеры</t>
  </si>
  <si>
    <t>Кузнецова Анна</t>
  </si>
  <si>
    <t>Предохранитель ИПСК</t>
  </si>
  <si>
    <t>Джагаров Дмитрий</t>
  </si>
  <si>
    <t>Родословная нейронов: как носить в себе множество мутаций и выглядеть совершенно здоровым</t>
  </si>
  <si>
    <t>Гобова Анна</t>
  </si>
  <si>
    <t>Длина теломер и времена года</t>
  </si>
  <si>
    <t>Королева Анастасия</t>
  </si>
  <si>
    <t>Трудится, как муравей? Ленится, как муравей!</t>
  </si>
  <si>
    <t>Кузык Валерия</t>
  </si>
  <si>
    <t>Эпигенетика: невидимый командир генома</t>
  </si>
  <si>
    <t>Ржешевский Алексей</t>
  </si>
  <si>
    <t>Возвращение Цвета</t>
  </si>
  <si>
    <t>Макарова Ольга</t>
  </si>
  <si>
    <t>О фундаментальной и прикладной науке</t>
  </si>
  <si>
    <t>Каневская Жанна</t>
  </si>
  <si>
    <t>От слов к делу: как ген, ответственный за речь, изменил судьбу нашего вида</t>
  </si>
  <si>
    <t>Лебедев Виктор</t>
  </si>
  <si>
    <t>Один день из жизни Грейвса</t>
  </si>
  <si>
    <t>Вахрушева Анна</t>
  </si>
  <si>
    <t>Технология использования паутины в медицине</t>
  </si>
  <si>
    <t>Шевнин Юрий</t>
  </si>
  <si>
    <t>Хороший, плохой, злой, или Как разозлить лимфоциты и уничтожить опухоль</t>
  </si>
  <si>
    <t>Вирусы и человек. Противостояние длиной в тысячелетия</t>
  </si>
  <si>
    <t>Человек на чипе</t>
  </si>
  <si>
    <t>Клёсова Ольга</t>
  </si>
  <si>
    <t>Цисгеномика: новое слово в селекции растений</t>
  </si>
  <si>
    <t>Слугина Мария</t>
  </si>
  <si>
    <t>Сказка-комикс о великой битве между радикалами и антиоксидантами</t>
  </si>
  <si>
    <t>Алексашкин Антон</t>
  </si>
  <si>
    <t>Статистика: наглядное пособие</t>
  </si>
  <si>
    <t>Белова Елена</t>
  </si>
  <si>
    <t>Не будь водорослью! Синтезируй ауксин эффективно!</t>
  </si>
  <si>
    <t>Дмитриева Надежда</t>
  </si>
  <si>
    <t>Нос и язык, которым нужны батарейки</t>
  </si>
  <si>
    <t>Расширенный геном</t>
  </si>
  <si>
    <t>Софронова Юлия</t>
  </si>
  <si>
    <t>Бактерии, молчать! Как и зачем вносить помехи в межклеточное общение</t>
  </si>
  <si>
    <t>Мартьянов Сергей</t>
  </si>
  <si>
    <t>Везучий микроб</t>
  </si>
  <si>
    <t>Радзиховская Ольга</t>
  </si>
  <si>
    <t>Помочь тем, кого нельзя обнять</t>
  </si>
  <si>
    <t>Челомбитько Мария</t>
  </si>
  <si>
    <t>Метаболизм клетки</t>
  </si>
  <si>
    <t>Гафуров Азамат</t>
  </si>
  <si>
    <t>Иммуностимулирующие вакцины</t>
  </si>
  <si>
    <t>Валиева Мария</t>
  </si>
  <si>
    <t>Плохая Karma портит масличные пальмы</t>
  </si>
  <si>
    <t>Елизарьев Павел</t>
  </si>
  <si>
    <t>Как происходит выделение нейромедиатора</t>
  </si>
  <si>
    <t>Сайфулина Ксения</t>
  </si>
  <si>
    <t>Новый метод CETCh-seq может за одну метку поймать много результатов</t>
  </si>
  <si>
    <t>Федорова Татьяна</t>
  </si>
  <si>
    <t>Спят усталые игрушки: о регуляции сна и роли орексина в этом процессе</t>
  </si>
  <si>
    <t>Иванюк Алина</t>
  </si>
  <si>
    <t>Наномеханика для адресной доставки лекарств – насколько это реально?</t>
  </si>
  <si>
    <t>Ефремова Мария</t>
  </si>
  <si>
    <t>Не хотим никотин, или кратко и ёмко о курении</t>
  </si>
  <si>
    <t>Галкин Федор</t>
  </si>
  <si>
    <t>Лечебные препараты из живых микроорганизмов</t>
  </si>
  <si>
    <t>Крушинская Татьяна</t>
  </si>
  <si>
    <t>Кем быть? Как гемопоэтическая стволовая клетка выбирает профессию</t>
  </si>
  <si>
    <t>Уфимцева Анастасия</t>
  </si>
  <si>
    <t>От поцелуя до лимфомы один вирус</t>
  </si>
  <si>
    <t>Шкаликова Мария</t>
  </si>
  <si>
    <t>Кто рубит коллагеновый лес</t>
  </si>
  <si>
    <t>Халиуллин Марсель</t>
  </si>
  <si>
    <t>Примитив не приговор, или Physarum polycephalum разумный</t>
  </si>
  <si>
    <t>Авсиевич Татьяна</t>
  </si>
  <si>
    <t>Прионные и неприонные амилоиды: определяет ли конформация разницу в инфекционности?</t>
  </si>
  <si>
    <t>Дергалев Александр</t>
  </si>
  <si>
    <t>Черная смерть. История о том, как безобидная бактерия стала беспощадной убийцей</t>
  </si>
  <si>
    <t>Казакова Дарья</t>
  </si>
  <si>
    <t>Осьминожий геном</t>
  </si>
  <si>
    <t>Бредихин Данила</t>
  </si>
  <si>
    <t>Прикладная биотехнология и молекулярная микробиология. Практическое руководство для студентов, или как запатентовать биопрепарат</t>
  </si>
  <si>
    <t>Фарофонова Василина</t>
  </si>
  <si>
    <t>Наши предки, ваши предки тоже были... протоклетки!</t>
  </si>
  <si>
    <t>Градова Маргарита</t>
  </si>
  <si>
    <t>Загадка феномена дежавю</t>
  </si>
  <si>
    <t>Киреева Альбина</t>
  </si>
  <si>
    <t>Т-лимфоциты: путешественники и домоседы</t>
  </si>
  <si>
    <t>Касацкая Софья</t>
  </si>
  <si>
    <t>Гипоксия, негипоксическая гипоксия и иммунитет</t>
  </si>
  <si>
    <t>Глуханюк Евгений</t>
  </si>
  <si>
    <t>Как пережить инфекцию: искусство быть болезнеустойчивым</t>
  </si>
  <si>
    <t>Олиферова Жанна</t>
  </si>
  <si>
    <t>Зона дельфина</t>
  </si>
  <si>
    <t>Муховейник</t>
  </si>
  <si>
    <t>Посух Ольга</t>
  </si>
  <si>
    <t>О том, кто «поедает наши вкусняшки»</t>
  </si>
  <si>
    <t>Пименова Наталия</t>
  </si>
  <si>
    <t>Слизистый след раковых заболеваний</t>
  </si>
  <si>
    <t>Савочкина Лиза</t>
  </si>
  <si>
    <t>Анализ индивидуальных репертуаров Т-клеточных рецепторов</t>
  </si>
  <si>
    <t>Чудаков Дмитрий</t>
  </si>
  <si>
    <t>Вакцинация в контексте «нано»</t>
  </si>
  <si>
    <t>Закубанский Александр</t>
  </si>
  <si>
    <t>Зачем клетки стареют</t>
  </si>
  <si>
    <t>Кондратенко Юлия</t>
  </si>
  <si>
    <t>Старение и долголетие: эпигеном раскрывает тайны</t>
  </si>
  <si>
    <t>Могут ли клетки работать под давлением?</t>
  </si>
  <si>
    <t>Усик Мария</t>
  </si>
  <si>
    <t>Старение: остановить нельзя смириться</t>
  </si>
  <si>
    <t>Абрамичева Полина</t>
  </si>
  <si>
    <t>Рыба жизни. Когда не только геном определяет продолжительность жизни</t>
  </si>
  <si>
    <t>Бурдин Роман</t>
  </si>
  <si>
    <t>Наивные Т-клетки – ключ к долголетию</t>
  </si>
  <si>
    <t>Сукальская Анастасия</t>
  </si>
  <si>
    <t>50 оттенков ДНК: генная инженерия пениса</t>
  </si>
  <si>
    <t>Панчин Александр</t>
  </si>
  <si>
    <t>Реалии ДНК-«аномалии»</t>
  </si>
  <si>
    <t>Беляева Лариса</t>
  </si>
  <si>
    <t>Необычные животные: иммунологические сказки</t>
  </si>
  <si>
    <t>Горяйнова Оксана</t>
  </si>
  <si>
    <t>Антиген – невидимка</t>
  </si>
  <si>
    <t>Кондратова Мария</t>
  </si>
  <si>
    <t>Как раскрыть секреты цитохрома с</t>
  </si>
  <si>
    <t>Никельшпарг Эвелина</t>
  </si>
  <si>
    <t>Спектроскопия КР: новые возможности старого метода</t>
  </si>
  <si>
    <t>Персонализированная и постгеномная медицина</t>
  </si>
  <si>
    <t>Баранова Анча</t>
  </si>
  <si>
    <t>Смерть после жизни, болезнь Альцгеймера и почему мы хотим перемен</t>
  </si>
  <si>
    <t>Козлов Станислав</t>
  </si>
  <si>
    <t>Т-клетки – марионетки или как перепрограммировать Т-лимфоциты, чтобы вылечить рак</t>
  </si>
  <si>
    <t>Ожаровская Татьяна</t>
  </si>
  <si>
    <t>Общая оценка</t>
  </si>
  <si>
    <t>Оценки жюри</t>
  </si>
  <si>
    <t>Вяххи</t>
  </si>
  <si>
    <t>Вяххи Николай</t>
  </si>
  <si>
    <t>Средняя</t>
  </si>
  <si>
    <t>Станд. Отклон</t>
  </si>
  <si>
    <t>Зимина Татьяна</t>
  </si>
  <si>
    <t>Станд. Отклон.</t>
  </si>
  <si>
    <t xml:space="preserve"> </t>
  </si>
  <si>
    <t>ФИО члена жюри</t>
  </si>
  <si>
    <t>Клещенко Е.В.</t>
  </si>
  <si>
    <t>Константинов Иван (Юрий Стефанов и Кирилл Мартьянов)</t>
  </si>
  <si>
    <t>Научная графика</t>
  </si>
  <si>
    <t>Дизайн</t>
  </si>
  <si>
    <t>заморочились, но есть ошибки, ну и без души совсем</t>
  </si>
  <si>
    <t>4 за старания, но вообще 3</t>
  </si>
  <si>
    <t>сложности с цветами местами, и плохая работа с текстом</t>
  </si>
  <si>
    <t>очень красиво. первое место</t>
  </si>
  <si>
    <t>хорошо, но есть несколько грязных или совсем нечитаемых мест, я бы все подписи написал так же на белых бумажках, отсканил или вырезал и приложил бы поверх, было бы идеально</t>
  </si>
  <si>
    <t>в целом круто конечно, такой адвэнчр тайм, немного смущает только излишняя слащавость в некоторых местах.</t>
  </si>
  <si>
    <t>могло бы быть интересно, но ужасная режиссура, звук и монтаж, я не смог досмотреть</t>
  </si>
  <si>
    <t>красивая обложка, все остальное — плохо, ну и комик санс</t>
  </si>
  <si>
    <t>Дмитрий Мамонтов</t>
  </si>
  <si>
    <t>Срзнач</t>
  </si>
  <si>
    <t>Меджитов Руслан</t>
  </si>
  <si>
    <t>Петр Старокадомский</t>
  </si>
  <si>
    <t>Чугунов Антон</t>
  </si>
  <si>
    <t>Научная составляющая</t>
  </si>
  <si>
    <t>Якименко Ольга</t>
  </si>
  <si>
    <t>Башмакова</t>
  </si>
  <si>
    <t>Зимина</t>
  </si>
  <si>
    <t>Клещенко</t>
  </si>
  <si>
    <t>Константинов</t>
  </si>
  <si>
    <t>Максутов</t>
  </si>
  <si>
    <t>Мамонтов</t>
  </si>
  <si>
    <t>Меджитов</t>
  </si>
  <si>
    <t>Паевский</t>
  </si>
  <si>
    <t>Полянский</t>
  </si>
  <si>
    <t>Старокадомский</t>
  </si>
  <si>
    <t>Тарасевич</t>
  </si>
  <si>
    <t>Чугунов</t>
  </si>
  <si>
    <t>Якименко</t>
  </si>
  <si>
    <t>Якутенко</t>
  </si>
  <si>
    <t>Нормализованные оценки</t>
  </si>
  <si>
    <t>Нормализованная оценка</t>
  </si>
  <si>
    <t>Средняя оценка</t>
  </si>
  <si>
    <t>Станд.отклон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</si>
</sst>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</font>
    <font>
      <sz val="10"/>
      <color indexed="8"/>
      <name val="Calibri"/>
    </font>
    <font>
      <i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sz val="12"/>
      <name val="Calibri"/>
    </font>
    <font>
      <i/>
      <sz val="12"/>
      <color indexed="8"/>
      <name val="Calibri"/>
      <family val="2"/>
    </font>
    <font>
      <u/>
      <sz val="12"/>
      <name val="Calibri"/>
      <family val="2"/>
      <charset val="204"/>
    </font>
    <font>
      <u/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17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222222"/>
      <name val="Arial"/>
      <family val="2"/>
      <charset val="204"/>
    </font>
    <font>
      <b/>
      <sz val="12"/>
      <color rgb="FF000000"/>
      <name val="Calibri"/>
    </font>
    <font>
      <b/>
      <i/>
      <sz val="12"/>
      <color rgb="FF000000"/>
      <name val="Calibri"/>
    </font>
    <font>
      <sz val="14"/>
      <color rgb="FF000000"/>
      <name val="Calibri"/>
    </font>
    <font>
      <u/>
      <sz val="12"/>
      <color rgb="FF0000D4"/>
      <name val="Calibri"/>
    </font>
    <font>
      <i/>
      <sz val="12"/>
      <color rgb="FF000000"/>
      <name val="Calibri"/>
    </font>
    <font>
      <sz val="10"/>
      <color rgb="FF000000"/>
      <name val="Calibri"/>
    </font>
    <font>
      <sz val="14"/>
      <color indexed="8"/>
      <name val="Cambria"/>
      <family val="1"/>
      <charset val="204"/>
      <scheme val="major"/>
    </font>
    <font>
      <sz val="12"/>
      <name val="Calibri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A2BD90"/>
        <bgColor rgb="FFA2BD9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3" borderId="4" applyNumberFormat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0" fontId="1" fillId="0" borderId="0" xfId="1"/>
    <xf numFmtId="0" fontId="5" fillId="0" borderId="0" xfId="0" applyFont="1"/>
    <xf numFmtId="0" fontId="4" fillId="0" borderId="2" xfId="0" applyFont="1" applyFill="1" applyBorder="1"/>
    <xf numFmtId="0" fontId="0" fillId="0" borderId="2" xfId="0" applyBorder="1"/>
    <xf numFmtId="0" fontId="7" fillId="0" borderId="1" xfId="0" applyFont="1" applyBorder="1"/>
    <xf numFmtId="0" fontId="1" fillId="0" borderId="0" xfId="1" applyFont="1"/>
    <xf numFmtId="0" fontId="8" fillId="0" borderId="0" xfId="0" applyFont="1"/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8" fillId="0" borderId="2" xfId="0" applyFont="1" applyBorder="1"/>
    <xf numFmtId="0" fontId="8" fillId="0" borderId="0" xfId="0" applyFont="1" applyBorder="1"/>
    <xf numFmtId="14" fontId="10" fillId="0" borderId="0" xfId="0" applyNumberFormat="1" applyFont="1" applyAlignment="1">
      <alignment horizontal="left"/>
    </xf>
    <xf numFmtId="0" fontId="0" fillId="0" borderId="0" xfId="0" applyFill="1" applyAlignment="1"/>
    <xf numFmtId="0" fontId="14" fillId="0" borderId="0" xfId="0" applyFont="1"/>
    <xf numFmtId="0" fontId="16" fillId="0" borderId="0" xfId="0" applyFont="1" applyBorder="1"/>
    <xf numFmtId="0" fontId="16" fillId="0" borderId="0" xfId="0" applyFont="1"/>
    <xf numFmtId="0" fontId="17" fillId="0" borderId="0" xfId="1" applyFont="1"/>
    <xf numFmtId="0" fontId="17" fillId="0" borderId="0" xfId="1" applyFont="1" applyAlignment="1">
      <alignment horizontal="left" wrapText="1"/>
    </xf>
    <xf numFmtId="14" fontId="18" fillId="0" borderId="0" xfId="0" applyNumberFormat="1" applyFont="1" applyAlignment="1">
      <alignment horizontal="left"/>
    </xf>
    <xf numFmtId="0" fontId="19" fillId="0" borderId="0" xfId="0" applyFont="1"/>
    <xf numFmtId="0" fontId="16" fillId="0" borderId="2" xfId="0" applyFont="1" applyBorder="1"/>
    <xf numFmtId="0" fontId="7" fillId="0" borderId="0" xfId="0" applyFont="1"/>
    <xf numFmtId="0" fontId="7" fillId="0" borderId="0" xfId="0" applyFont="1" applyBorder="1"/>
    <xf numFmtId="0" fontId="20" fillId="0" borderId="0" xfId="1" applyFont="1" applyAlignment="1">
      <alignment horizontal="left" wrapText="1"/>
    </xf>
    <xf numFmtId="0" fontId="20" fillId="0" borderId="0" xfId="1" applyFont="1"/>
    <xf numFmtId="0" fontId="21" fillId="0" borderId="0" xfId="1" applyFont="1"/>
    <xf numFmtId="0" fontId="22" fillId="0" borderId="0" xfId="0" applyFont="1"/>
    <xf numFmtId="0" fontId="21" fillId="0" borderId="0" xfId="1" applyFont="1" applyAlignment="1">
      <alignment horizontal="left" wrapText="1"/>
    </xf>
    <xf numFmtId="0" fontId="23" fillId="0" borderId="0" xfId="0" applyFont="1"/>
    <xf numFmtId="0" fontId="24" fillId="0" borderId="2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/>
    <xf numFmtId="0" fontId="26" fillId="0" borderId="0" xfId="0" applyFont="1" applyAlignment="1"/>
    <xf numFmtId="0" fontId="26" fillId="4" borderId="0" xfId="0" applyFont="1" applyFill="1" applyAlignment="1"/>
    <xf numFmtId="0" fontId="26" fillId="5" borderId="0" xfId="0" applyFont="1" applyFill="1" applyAlignment="1"/>
    <xf numFmtId="0" fontId="26" fillId="6" borderId="0" xfId="0" applyFont="1" applyFill="1" applyAlignment="1"/>
    <xf numFmtId="0" fontId="26" fillId="0" borderId="0" xfId="0" applyFont="1"/>
    <xf numFmtId="0" fontId="27" fillId="7" borderId="0" xfId="0" applyFont="1" applyFill="1" applyAlignment="1"/>
    <xf numFmtId="0" fontId="27" fillId="5" borderId="0" xfId="0" applyFont="1" applyFill="1" applyAlignment="1"/>
    <xf numFmtId="0" fontId="27" fillId="6" borderId="0" xfId="0" applyFont="1" applyFill="1" applyAlignment="1"/>
    <xf numFmtId="0" fontId="28" fillId="0" borderId="0" xfId="0" applyFont="1" applyFill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/>
    <xf numFmtId="0" fontId="30" fillId="0" borderId="6" xfId="0" applyFont="1" applyFill="1" applyBorder="1"/>
    <xf numFmtId="0" fontId="30" fillId="0" borderId="6" xfId="0" applyFont="1" applyBorder="1"/>
    <xf numFmtId="0" fontId="30" fillId="0" borderId="0" xfId="0" applyFont="1"/>
    <xf numFmtId="0" fontId="30" fillId="0" borderId="0" xfId="0" applyFont="1" applyFill="1"/>
    <xf numFmtId="0" fontId="31" fillId="0" borderId="0" xfId="0" applyFont="1" applyFill="1" applyAlignment="1">
      <alignment horizontal="left" wrapText="1"/>
    </xf>
    <xf numFmtId="0" fontId="31" fillId="0" borderId="0" xfId="0" applyFont="1"/>
    <xf numFmtId="0" fontId="31" fillId="0" borderId="0" xfId="0" applyFont="1" applyFill="1"/>
    <xf numFmtId="0" fontId="32" fillId="0" borderId="0" xfId="0" applyFont="1"/>
    <xf numFmtId="0" fontId="0" fillId="0" borderId="0" xfId="0" applyFont="1" applyFill="1" applyAlignment="1"/>
    <xf numFmtId="0" fontId="33" fillId="0" borderId="7" xfId="0" applyFont="1" applyFill="1" applyBorder="1"/>
    <xf numFmtId="0" fontId="0" fillId="0" borderId="7" xfId="0" applyFont="1" applyBorder="1"/>
    <xf numFmtId="0" fontId="33" fillId="0" borderId="0" xfId="0" applyFont="1" applyFill="1" applyAlignment="1">
      <alignment horizontal="left"/>
    </xf>
    <xf numFmtId="0" fontId="1" fillId="9" borderId="0" xfId="1" applyFill="1" applyAlignment="1">
      <alignment horizontal="left" wrapText="1"/>
    </xf>
    <xf numFmtId="0" fontId="1" fillId="9" borderId="0" xfId="1" applyFill="1"/>
    <xf numFmtId="0" fontId="17" fillId="9" borderId="0" xfId="1" applyFont="1" applyFill="1"/>
    <xf numFmtId="0" fontId="16" fillId="9" borderId="0" xfId="0" applyFont="1" applyFill="1"/>
    <xf numFmtId="0" fontId="0" fillId="9" borderId="0" xfId="0" applyFont="1" applyFill="1"/>
    <xf numFmtId="0" fontId="1" fillId="10" borderId="0" xfId="1" applyFill="1" applyAlignment="1">
      <alignment horizontal="left" wrapText="1"/>
    </xf>
    <xf numFmtId="0" fontId="1" fillId="10" borderId="0" xfId="1" applyFill="1"/>
    <xf numFmtId="0" fontId="17" fillId="10" borderId="0" xfId="1" applyFont="1" applyFill="1"/>
    <xf numFmtId="0" fontId="0" fillId="10" borderId="0" xfId="0" applyFont="1" applyFill="1"/>
    <xf numFmtId="0" fontId="16" fillId="10" borderId="0" xfId="0" applyFont="1" applyFill="1"/>
    <xf numFmtId="14" fontId="18" fillId="9" borderId="0" xfId="0" applyNumberFormat="1" applyFont="1" applyFill="1" applyAlignment="1">
      <alignment horizontal="left"/>
    </xf>
    <xf numFmtId="0" fontId="11" fillId="3" borderId="4" xfId="2"/>
    <xf numFmtId="0" fontId="11" fillId="3" borderId="4" xfId="2" applyAlignment="1">
      <alignment horizontal="left" wrapText="1"/>
    </xf>
    <xf numFmtId="14" fontId="11" fillId="3" borderId="4" xfId="2" applyNumberFormat="1" applyAlignment="1">
      <alignment horizontal="left"/>
    </xf>
    <xf numFmtId="0" fontId="34" fillId="0" borderId="0" xfId="0" applyFont="1" applyBorder="1" applyAlignment="1">
      <alignment horizontal="center"/>
    </xf>
    <xf numFmtId="0" fontId="1" fillId="11" borderId="0" xfId="1" applyFill="1" applyAlignment="1">
      <alignment horizontal="left" wrapText="1"/>
    </xf>
    <xf numFmtId="0" fontId="1" fillId="11" borderId="0" xfId="1" applyFill="1"/>
    <xf numFmtId="0" fontId="1" fillId="11" borderId="0" xfId="1" applyFont="1" applyFill="1"/>
    <xf numFmtId="0" fontId="34" fillId="11" borderId="0" xfId="0" applyFont="1" applyFill="1" applyBorder="1" applyAlignment="1">
      <alignment horizontal="center"/>
    </xf>
    <xf numFmtId="0" fontId="1" fillId="11" borderId="0" xfId="1" applyFont="1" applyFill="1" applyAlignment="1">
      <alignment horizontal="left" wrapText="1"/>
    </xf>
    <xf numFmtId="0" fontId="34" fillId="11" borderId="0" xfId="0" applyFont="1" applyFill="1" applyBorder="1" applyAlignment="1">
      <alignment horizontal="center"/>
    </xf>
    <xf numFmtId="0" fontId="34" fillId="11" borderId="0" xfId="0" applyFont="1" applyFill="1" applyBorder="1" applyAlignment="1">
      <alignment horizontal="center" vertical="center" wrapText="1"/>
    </xf>
    <xf numFmtId="0" fontId="8" fillId="11" borderId="0" xfId="0" applyFont="1" applyFill="1"/>
    <xf numFmtId="14" fontId="10" fillId="11" borderId="0" xfId="0" applyNumberFormat="1" applyFont="1" applyFill="1" applyAlignment="1">
      <alignment horizontal="left"/>
    </xf>
    <xf numFmtId="0" fontId="7" fillId="0" borderId="2" xfId="0" applyFont="1" applyBorder="1"/>
    <xf numFmtId="0" fontId="3" fillId="0" borderId="2" xfId="0" applyFont="1" applyBorder="1"/>
    <xf numFmtId="0" fontId="0" fillId="11" borderId="0" xfId="0" applyFill="1"/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0" fillId="0" borderId="1" xfId="0" applyFont="1" applyBorder="1"/>
    <xf numFmtId="0" fontId="8" fillId="12" borderId="0" xfId="0" applyFont="1" applyFill="1"/>
    <xf numFmtId="0" fontId="0" fillId="12" borderId="0" xfId="0" applyFill="1"/>
    <xf numFmtId="14" fontId="35" fillId="0" borderId="0" xfId="0" applyNumberFormat="1" applyFont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1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0" borderId="0" xfId="1" applyFont="1" applyAlignment="1">
      <alignment horizontal="center"/>
    </xf>
    <xf numFmtId="0" fontId="2" fillId="2" borderId="0" xfId="0" applyFont="1" applyFill="1" applyAlignment="1">
      <alignment horizontal="left"/>
    </xf>
    <xf numFmtId="0" fontId="1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0" xfId="0" applyFont="1" applyFill="1" applyBorder="1" applyAlignment="1">
      <alignment horizontal="left"/>
    </xf>
    <xf numFmtId="0" fontId="18" fillId="0" borderId="0" xfId="0" applyFont="1" applyBorder="1"/>
    <xf numFmtId="0" fontId="29" fillId="0" borderId="5" xfId="0" applyFont="1" applyBorder="1" applyAlignment="1">
      <alignment horizontal="center"/>
    </xf>
    <xf numFmtId="0" fontId="18" fillId="0" borderId="5" xfId="0" applyFont="1" applyBorder="1"/>
    <xf numFmtId="0" fontId="3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8" fillId="0" borderId="0" xfId="0" applyFont="1" applyAlignment="1">
      <alignment vertical="center"/>
    </xf>
    <xf numFmtId="0" fontId="34" fillId="11" borderId="0" xfId="0" applyFont="1" applyFill="1" applyBorder="1" applyAlignment="1">
      <alignment horizontal="center"/>
    </xf>
    <xf numFmtId="0" fontId="1" fillId="11" borderId="0" xfId="1" applyFont="1" applyFill="1" applyAlignment="1">
      <alignment horizontal="center"/>
    </xf>
  </cellXfs>
  <cellStyles count="3">
    <cellStyle name="Гиперссылка" xfId="1" builtinId="8"/>
    <cellStyle name="Контрольная ячейка" xfId="2" builtinId="23"/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59" Type="http://schemas.openxmlformats.org/officeDocument/2006/relationships/comments" Target="../comments1.xm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59" Type="http://schemas.openxmlformats.org/officeDocument/2006/relationships/hyperlink" Target="http://biomolecula.ru/content/1791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Relationship Id="rId25" Type="http://schemas.openxmlformats.org/officeDocument/2006/relationships/hyperlink" Target="http://biomolecula.ru/content/1762" TargetMode="External"/><Relationship Id="rId46" Type="http://schemas.openxmlformats.org/officeDocument/2006/relationships/hyperlink" Target="http://biomolecula.ru/authors/2833" TargetMode="External"/><Relationship Id="rId67" Type="http://schemas.openxmlformats.org/officeDocument/2006/relationships/hyperlink" Target="http://biomolecula.ru/content/1794" TargetMode="External"/><Relationship Id="rId116" Type="http://schemas.openxmlformats.org/officeDocument/2006/relationships/hyperlink" Target="http://biomolecula.ru/authors/4791" TargetMode="External"/><Relationship Id="rId137" Type="http://schemas.openxmlformats.org/officeDocument/2006/relationships/hyperlink" Target="http://biomolecula.ru/content/1838" TargetMode="External"/><Relationship Id="rId158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printerSettings" Target="../printerSettings/printerSettings2.bin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59" Type="http://schemas.openxmlformats.org/officeDocument/2006/relationships/hyperlink" Target="http://biomolecula.ru/content/1791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157" Type="http://schemas.openxmlformats.org/officeDocument/2006/relationships/printerSettings" Target="../printerSettings/printerSettings3.bin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Relationship Id="rId25" Type="http://schemas.openxmlformats.org/officeDocument/2006/relationships/hyperlink" Target="http://biomolecula.ru/content/1762" TargetMode="External"/><Relationship Id="rId46" Type="http://schemas.openxmlformats.org/officeDocument/2006/relationships/hyperlink" Target="http://biomolecula.ru/authors/2833" TargetMode="External"/><Relationship Id="rId67" Type="http://schemas.openxmlformats.org/officeDocument/2006/relationships/hyperlink" Target="http://biomolecula.ru/content/1794" TargetMode="External"/><Relationship Id="rId116" Type="http://schemas.openxmlformats.org/officeDocument/2006/relationships/hyperlink" Target="http://biomolecula.ru/authors/4791" TargetMode="External"/><Relationship Id="rId137" Type="http://schemas.openxmlformats.org/officeDocument/2006/relationships/hyperlink" Target="http://biomolecula.ru/content/1838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675" TargetMode="External"/><Relationship Id="rId117" Type="http://schemas.openxmlformats.org/officeDocument/2006/relationships/hyperlink" Target="http://biomolecula.ru/content/1847" TargetMode="External"/><Relationship Id="rId21" Type="http://schemas.openxmlformats.org/officeDocument/2006/relationships/hyperlink" Target="http://biomolecula.ru/content/1784" TargetMode="External"/><Relationship Id="rId42" Type="http://schemas.openxmlformats.org/officeDocument/2006/relationships/hyperlink" Target="http://biomolecula.ru/authors/4817" TargetMode="External"/><Relationship Id="rId47" Type="http://schemas.openxmlformats.org/officeDocument/2006/relationships/hyperlink" Target="http://biomolecula.ru/content/1808" TargetMode="External"/><Relationship Id="rId63" Type="http://schemas.openxmlformats.org/officeDocument/2006/relationships/hyperlink" Target="http://biomolecula.ru/content/1732" TargetMode="External"/><Relationship Id="rId68" Type="http://schemas.openxmlformats.org/officeDocument/2006/relationships/hyperlink" Target="http://biomolecula.ru/authors/4798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26" TargetMode="External"/><Relationship Id="rId112" Type="http://schemas.openxmlformats.org/officeDocument/2006/relationships/hyperlink" Target="http://biomolecula.ru/authors/4637" TargetMode="External"/><Relationship Id="rId133" Type="http://schemas.openxmlformats.org/officeDocument/2006/relationships/hyperlink" Target="http://biomolecula.ru/authors/4675" TargetMode="External"/><Relationship Id="rId138" Type="http://schemas.openxmlformats.org/officeDocument/2006/relationships/hyperlink" Target="http://biomolecula.ru/content/1783" TargetMode="External"/><Relationship Id="rId154" Type="http://schemas.openxmlformats.org/officeDocument/2006/relationships/hyperlink" Target="http://biomolecula.ru/content/1807" TargetMode="External"/><Relationship Id="rId16" Type="http://schemas.openxmlformats.org/officeDocument/2006/relationships/hyperlink" Target="http://biomolecula.ru/authors/3877" TargetMode="External"/><Relationship Id="rId107" Type="http://schemas.openxmlformats.org/officeDocument/2006/relationships/hyperlink" Target="http://biomolecula.ru/content/1810" TargetMode="External"/><Relationship Id="rId11" Type="http://schemas.openxmlformats.org/officeDocument/2006/relationships/hyperlink" Target="http://biomolecula.ru/content/1756" TargetMode="External"/><Relationship Id="rId32" Type="http://schemas.openxmlformats.org/officeDocument/2006/relationships/hyperlink" Target="http://biomolecula.ru/authors/4776" TargetMode="External"/><Relationship Id="rId37" Type="http://schemas.openxmlformats.org/officeDocument/2006/relationships/hyperlink" Target="http://biomolecula.ru/content/1822" TargetMode="External"/><Relationship Id="rId53" Type="http://schemas.openxmlformats.org/officeDocument/2006/relationships/hyperlink" Target="http://biomolecula.ru/content/1844" TargetMode="External"/><Relationship Id="rId58" Type="http://schemas.openxmlformats.org/officeDocument/2006/relationships/hyperlink" Target="http://biomolecula.ru/authors/4858" TargetMode="External"/><Relationship Id="rId74" Type="http://schemas.openxmlformats.org/officeDocument/2006/relationships/hyperlink" Target="http://biomolecula.ru/authors/4762" TargetMode="External"/><Relationship Id="rId79" Type="http://schemas.openxmlformats.org/officeDocument/2006/relationships/hyperlink" Target="http://biomolecula.ru/content/1755" TargetMode="External"/><Relationship Id="rId102" Type="http://schemas.openxmlformats.org/officeDocument/2006/relationships/hyperlink" Target="http://biomolecula.ru/authors/4805" TargetMode="External"/><Relationship Id="rId123" Type="http://schemas.openxmlformats.org/officeDocument/2006/relationships/hyperlink" Target="http://biomolecula.ru/authors/4714" TargetMode="External"/><Relationship Id="rId128" Type="http://schemas.openxmlformats.org/officeDocument/2006/relationships/hyperlink" Target="http://biomolecula.ru/content/1840" TargetMode="External"/><Relationship Id="rId144" Type="http://schemas.openxmlformats.org/officeDocument/2006/relationships/hyperlink" Target="http://biomolecula.ru/content/1794" TargetMode="External"/><Relationship Id="rId149" Type="http://schemas.openxmlformats.org/officeDocument/2006/relationships/hyperlink" Target="http://biomolecula.ru/authors/4842" TargetMode="External"/><Relationship Id="rId5" Type="http://schemas.openxmlformats.org/officeDocument/2006/relationships/hyperlink" Target="http://biomolecula.ru/content/1742" TargetMode="External"/><Relationship Id="rId90" Type="http://schemas.openxmlformats.org/officeDocument/2006/relationships/hyperlink" Target="http://biomolecula.ru/authors/4797" TargetMode="External"/><Relationship Id="rId95" Type="http://schemas.openxmlformats.org/officeDocument/2006/relationships/hyperlink" Target="http://biomolecula.ru/content/1786" TargetMode="External"/><Relationship Id="rId22" Type="http://schemas.openxmlformats.org/officeDocument/2006/relationships/hyperlink" Target="http://biomolecula.ru/authors/4277" TargetMode="External"/><Relationship Id="rId27" Type="http://schemas.openxmlformats.org/officeDocument/2006/relationships/hyperlink" Target="http://biomolecula.ru/content/1814" TargetMode="External"/><Relationship Id="rId43" Type="http://schemas.openxmlformats.org/officeDocument/2006/relationships/hyperlink" Target="http://biomolecula.ru/content/1827" TargetMode="External"/><Relationship Id="rId48" Type="http://schemas.openxmlformats.org/officeDocument/2006/relationships/hyperlink" Target="http://biomolecula.ru/authors/4732" TargetMode="External"/><Relationship Id="rId64" Type="http://schemas.openxmlformats.org/officeDocument/2006/relationships/hyperlink" Target="http://biomolecula.ru/authors/4602" TargetMode="External"/><Relationship Id="rId69" Type="http://schemas.openxmlformats.org/officeDocument/2006/relationships/hyperlink" Target="http://biomolecula.ru/content/1796" TargetMode="External"/><Relationship Id="rId113" Type="http://schemas.openxmlformats.org/officeDocument/2006/relationships/hyperlink" Target="http://biomolecula.ru/content/1841" TargetMode="External"/><Relationship Id="rId118" Type="http://schemas.openxmlformats.org/officeDocument/2006/relationships/hyperlink" Target="http://biomolecula.ru/authors/4831" TargetMode="External"/><Relationship Id="rId134" Type="http://schemas.openxmlformats.org/officeDocument/2006/relationships/hyperlink" Target="http://biomolecula.ru/content/1782" TargetMode="External"/><Relationship Id="rId139" Type="http://schemas.openxmlformats.org/officeDocument/2006/relationships/hyperlink" Target="http://biomolecula.ru/authors/4824" TargetMode="External"/><Relationship Id="rId80" Type="http://schemas.openxmlformats.org/officeDocument/2006/relationships/hyperlink" Target="http://biomolecula.ru/authors/4699" TargetMode="External"/><Relationship Id="rId85" Type="http://schemas.openxmlformats.org/officeDocument/2006/relationships/hyperlink" Target="http://biomolecula.ru/content/1799" TargetMode="External"/><Relationship Id="rId150" Type="http://schemas.openxmlformats.org/officeDocument/2006/relationships/hyperlink" Target="http://biomolecula.ru/content/1800" TargetMode="External"/><Relationship Id="rId155" Type="http://schemas.openxmlformats.org/officeDocument/2006/relationships/hyperlink" Target="http://biomolecula.ru/authors/3109" TargetMode="External"/><Relationship Id="rId12" Type="http://schemas.openxmlformats.org/officeDocument/2006/relationships/hyperlink" Target="http://biomolecula.ru/authors/4682" TargetMode="External"/><Relationship Id="rId17" Type="http://schemas.openxmlformats.org/officeDocument/2006/relationships/hyperlink" Target="http://biomolecula.ru/content/1777" TargetMode="External"/><Relationship Id="rId25" Type="http://schemas.openxmlformats.org/officeDocument/2006/relationships/hyperlink" Target="http://biomolecula.ru/content/1792" TargetMode="External"/><Relationship Id="rId33" Type="http://schemas.openxmlformats.org/officeDocument/2006/relationships/hyperlink" Target="http://biomolecula.ru/content/1798" TargetMode="External"/><Relationship Id="rId38" Type="http://schemas.openxmlformats.org/officeDocument/2006/relationships/hyperlink" Target="http://biomolecula.ru/authors/4812" TargetMode="External"/><Relationship Id="rId46" Type="http://schemas.openxmlformats.org/officeDocument/2006/relationships/hyperlink" Target="http://biomolecula.ru/authors/4809" TargetMode="External"/><Relationship Id="rId59" Type="http://schemas.openxmlformats.org/officeDocument/2006/relationships/hyperlink" Target="http://biomolecula.ru/content/1719" TargetMode="External"/><Relationship Id="rId67" Type="http://schemas.openxmlformats.org/officeDocument/2006/relationships/hyperlink" Target="http://biomolecula.ru/content/1791" TargetMode="External"/><Relationship Id="rId103" Type="http://schemas.openxmlformats.org/officeDocument/2006/relationships/hyperlink" Target="http://biomolecula.ru/content/1830" TargetMode="External"/><Relationship Id="rId108" Type="http://schemas.openxmlformats.org/officeDocument/2006/relationships/hyperlink" Target="http://biomolecula.ru/authors/4849" TargetMode="External"/><Relationship Id="rId116" Type="http://schemas.openxmlformats.org/officeDocument/2006/relationships/hyperlink" Target="http://biomolecula.ru/authors/4336" TargetMode="External"/><Relationship Id="rId124" Type="http://schemas.openxmlformats.org/officeDocument/2006/relationships/hyperlink" Target="http://biomolecula.ru/content/1836" TargetMode="External"/><Relationship Id="rId129" Type="http://schemas.openxmlformats.org/officeDocument/2006/relationships/hyperlink" Target="http://biomolecula.ru/authors/4331" TargetMode="External"/><Relationship Id="rId137" Type="http://schemas.openxmlformats.org/officeDocument/2006/relationships/hyperlink" Target="http://biomolecula.ru/authors/4845" TargetMode="External"/><Relationship Id="rId20" Type="http://schemas.openxmlformats.org/officeDocument/2006/relationships/hyperlink" Target="http://biomolecula.ru/authors/4791" TargetMode="External"/><Relationship Id="rId41" Type="http://schemas.openxmlformats.org/officeDocument/2006/relationships/hyperlink" Target="http://biomolecula.ru/content/1801" TargetMode="External"/><Relationship Id="rId54" Type="http://schemas.openxmlformats.org/officeDocument/2006/relationships/hyperlink" Target="http://biomolecula.ru/authors/4348" TargetMode="External"/><Relationship Id="rId62" Type="http://schemas.openxmlformats.org/officeDocument/2006/relationships/hyperlink" Target="http://biomolecula.ru/authors/4652" TargetMode="External"/><Relationship Id="rId70" Type="http://schemas.openxmlformats.org/officeDocument/2006/relationships/hyperlink" Target="http://biomolecula.ru/authors/3718" TargetMode="External"/><Relationship Id="rId75" Type="http://schemas.openxmlformats.org/officeDocument/2006/relationships/hyperlink" Target="http://biomolecula.ru/content/1803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846" TargetMode="External"/><Relationship Id="rId91" Type="http://schemas.openxmlformats.org/officeDocument/2006/relationships/hyperlink" Target="http://biomolecula.ru/content/1843" TargetMode="External"/><Relationship Id="rId96" Type="http://schemas.openxmlformats.org/officeDocument/2006/relationships/hyperlink" Target="http://biomolecula.ru/authors/3680" TargetMode="External"/><Relationship Id="rId111" Type="http://schemas.openxmlformats.org/officeDocument/2006/relationships/hyperlink" Target="http://biomolecula.ru/content/1838" TargetMode="External"/><Relationship Id="rId132" Type="http://schemas.openxmlformats.org/officeDocument/2006/relationships/hyperlink" Target="http://biomolecula.ru/content/1773" TargetMode="External"/><Relationship Id="rId140" Type="http://schemas.openxmlformats.org/officeDocument/2006/relationships/hyperlink" Target="http://biomolecula.ru/content/1790" TargetMode="External"/><Relationship Id="rId145" Type="http://schemas.openxmlformats.org/officeDocument/2006/relationships/hyperlink" Target="http://biomolecula.ru/authors/4830" TargetMode="External"/><Relationship Id="rId153" Type="http://schemas.openxmlformats.org/officeDocument/2006/relationships/hyperlink" Target="http://biomolecula.ru/authors/4791" TargetMode="External"/><Relationship Id="rId1" Type="http://schemas.openxmlformats.org/officeDocument/2006/relationships/hyperlink" Target="http://biomolecula.ru/content/1708" TargetMode="External"/><Relationship Id="rId6" Type="http://schemas.openxmlformats.org/officeDocument/2006/relationships/hyperlink" Target="http://biomolecula.ru/authors/3893" TargetMode="External"/><Relationship Id="rId15" Type="http://schemas.openxmlformats.org/officeDocument/2006/relationships/hyperlink" Target="http://biomolecula.ru/content/1771" TargetMode="External"/><Relationship Id="rId23" Type="http://schemas.openxmlformats.org/officeDocument/2006/relationships/hyperlink" Target="http://biomolecula.ru/content/1789" TargetMode="External"/><Relationship Id="rId28" Type="http://schemas.openxmlformats.org/officeDocument/2006/relationships/hyperlink" Target="http://biomolecula.ru/authors/4828" TargetMode="External"/><Relationship Id="rId36" Type="http://schemas.openxmlformats.org/officeDocument/2006/relationships/hyperlink" Target="http://biomolecula.ru/authors/3833" TargetMode="External"/><Relationship Id="rId49" Type="http://schemas.openxmlformats.org/officeDocument/2006/relationships/hyperlink" Target="http://biomolecula.ru/content/1835" TargetMode="External"/><Relationship Id="rId57" Type="http://schemas.openxmlformats.org/officeDocument/2006/relationships/hyperlink" Target="http://biomolecula.ru/content/1845" TargetMode="External"/><Relationship Id="rId106" Type="http://schemas.openxmlformats.org/officeDocument/2006/relationships/hyperlink" Target="http://biomolecula.ru/authors/2050" TargetMode="External"/><Relationship Id="rId114" Type="http://schemas.openxmlformats.org/officeDocument/2006/relationships/hyperlink" Target="http://biomolecula.ru/authors/4332" TargetMode="External"/><Relationship Id="rId119" Type="http://schemas.openxmlformats.org/officeDocument/2006/relationships/hyperlink" Target="http://biomolecula.ru/authors/1843" TargetMode="External"/><Relationship Id="rId127" Type="http://schemas.openxmlformats.org/officeDocument/2006/relationships/hyperlink" Target="http://biomolecula.ru/authors/4779" TargetMode="External"/><Relationship Id="rId10" Type="http://schemas.openxmlformats.org/officeDocument/2006/relationships/hyperlink" Target="http://biomolecula.ru/authors/4736" TargetMode="External"/><Relationship Id="rId31" Type="http://schemas.openxmlformats.org/officeDocument/2006/relationships/hyperlink" Target="http://biomolecula.ru/content/1795" TargetMode="External"/><Relationship Id="rId44" Type="http://schemas.openxmlformats.org/officeDocument/2006/relationships/hyperlink" Target="http://biomolecula.ru/authors/4822" TargetMode="External"/><Relationship Id="rId52" Type="http://schemas.openxmlformats.org/officeDocument/2006/relationships/hyperlink" Target="http://biomolecula.ru/authors/4339" TargetMode="External"/><Relationship Id="rId60" Type="http://schemas.openxmlformats.org/officeDocument/2006/relationships/hyperlink" Target="http://biomolecula.ru/authors/3680" TargetMode="External"/><Relationship Id="rId65" Type="http://schemas.openxmlformats.org/officeDocument/2006/relationships/hyperlink" Target="http://biomolecula.ru/content/1770" TargetMode="External"/><Relationship Id="rId73" Type="http://schemas.openxmlformats.org/officeDocument/2006/relationships/hyperlink" Target="http://biomolecula.ru/content/1802" TargetMode="External"/><Relationship Id="rId78" Type="http://schemas.openxmlformats.org/officeDocument/2006/relationships/hyperlink" Target="http://biomolecula.ru/authors/4840" TargetMode="External"/><Relationship Id="rId81" Type="http://schemas.openxmlformats.org/officeDocument/2006/relationships/hyperlink" Target="http://biomolecula.ru/content/1785" TargetMode="External"/><Relationship Id="rId86" Type="http://schemas.openxmlformats.org/officeDocument/2006/relationships/hyperlink" Target="http://biomolecula.ru/authors/4790" TargetMode="External"/><Relationship Id="rId94" Type="http://schemas.openxmlformats.org/officeDocument/2006/relationships/hyperlink" Target="http://biomolecula.ru/authors/4693" TargetMode="External"/><Relationship Id="rId99" Type="http://schemas.openxmlformats.org/officeDocument/2006/relationships/hyperlink" Target="http://biomolecula.ru/content/1816" TargetMode="External"/><Relationship Id="rId101" Type="http://schemas.openxmlformats.org/officeDocument/2006/relationships/hyperlink" Target="http://biomolecula.ru/content/1828" TargetMode="External"/><Relationship Id="rId122" Type="http://schemas.openxmlformats.org/officeDocument/2006/relationships/hyperlink" Target="http://biomolecula.ru/content/1834" TargetMode="External"/><Relationship Id="rId130" Type="http://schemas.openxmlformats.org/officeDocument/2006/relationships/hyperlink" Target="http://biomolecula.ru/content/1747" TargetMode="External"/><Relationship Id="rId135" Type="http://schemas.openxmlformats.org/officeDocument/2006/relationships/hyperlink" Target="http://biomolecula.ru/authors/4787" TargetMode="External"/><Relationship Id="rId143" Type="http://schemas.openxmlformats.org/officeDocument/2006/relationships/hyperlink" Target="http://biomolecula.ru/authors/4857" TargetMode="External"/><Relationship Id="rId148" Type="http://schemas.openxmlformats.org/officeDocument/2006/relationships/hyperlink" Target="http://biomolecula.ru/content/1817" TargetMode="External"/><Relationship Id="rId151" Type="http://schemas.openxmlformats.org/officeDocument/2006/relationships/hyperlink" Target="http://biomolecula.ru/authors/4793" TargetMode="External"/><Relationship Id="rId4" Type="http://schemas.openxmlformats.org/officeDocument/2006/relationships/hyperlink" Target="http://biomolecula.ru/authors/3893" TargetMode="External"/><Relationship Id="rId9" Type="http://schemas.openxmlformats.org/officeDocument/2006/relationships/hyperlink" Target="http://biomolecula.ru/content/1751" TargetMode="External"/><Relationship Id="rId13" Type="http://schemas.openxmlformats.org/officeDocument/2006/relationships/hyperlink" Target="http://biomolecula.ru/content/1762" TargetMode="External"/><Relationship Id="rId18" Type="http://schemas.openxmlformats.org/officeDocument/2006/relationships/hyperlink" Target="http://biomolecula.ru/authors/4714" TargetMode="External"/><Relationship Id="rId39" Type="http://schemas.openxmlformats.org/officeDocument/2006/relationships/hyperlink" Target="http://biomolecula.ru/content/1823" TargetMode="External"/><Relationship Id="rId109" Type="http://schemas.openxmlformats.org/officeDocument/2006/relationships/hyperlink" Target="http://biomolecula.ru/content/1832" TargetMode="External"/><Relationship Id="rId34" Type="http://schemas.openxmlformats.org/officeDocument/2006/relationships/hyperlink" Target="http://biomolecula.ru/authors/4755" TargetMode="External"/><Relationship Id="rId50" Type="http://schemas.openxmlformats.org/officeDocument/2006/relationships/hyperlink" Target="http://biomolecula.ru/authors/4775" TargetMode="External"/><Relationship Id="rId55" Type="http://schemas.openxmlformats.org/officeDocument/2006/relationships/hyperlink" Target="http://biomolecula.ru/content/1846" TargetMode="External"/><Relationship Id="rId76" Type="http://schemas.openxmlformats.org/officeDocument/2006/relationships/hyperlink" Target="http://biomolecula.ru/authors/4354" TargetMode="External"/><Relationship Id="rId97" Type="http://schemas.openxmlformats.org/officeDocument/2006/relationships/hyperlink" Target="http://biomolecula.ru/content/1787" TargetMode="External"/><Relationship Id="rId104" Type="http://schemas.openxmlformats.org/officeDocument/2006/relationships/hyperlink" Target="http://biomolecula.ru/authors/4844" TargetMode="External"/><Relationship Id="rId120" Type="http://schemas.openxmlformats.org/officeDocument/2006/relationships/hyperlink" Target="http://biomolecula.ru/content/1769" TargetMode="External"/><Relationship Id="rId125" Type="http://schemas.openxmlformats.org/officeDocument/2006/relationships/hyperlink" Target="http://biomolecula.ru/authors/4815" TargetMode="External"/><Relationship Id="rId141" Type="http://schemas.openxmlformats.org/officeDocument/2006/relationships/hyperlink" Target="http://biomolecula.ru/authors/4800" TargetMode="External"/><Relationship Id="rId146" Type="http://schemas.openxmlformats.org/officeDocument/2006/relationships/hyperlink" Target="http://biomolecula.ru/content/1797" TargetMode="External"/><Relationship Id="rId7" Type="http://schemas.openxmlformats.org/officeDocument/2006/relationships/hyperlink" Target="http://biomolecula.ru/content/1750" TargetMode="External"/><Relationship Id="rId71" Type="http://schemas.openxmlformats.org/officeDocument/2006/relationships/hyperlink" Target="http://biomolecula.ru/content/1818" TargetMode="External"/><Relationship Id="rId92" Type="http://schemas.openxmlformats.org/officeDocument/2006/relationships/hyperlink" Target="http://biomolecula.ru/authors/4348" TargetMode="External"/><Relationship Id="rId2" Type="http://schemas.openxmlformats.org/officeDocument/2006/relationships/hyperlink" Target="http://biomolecula.ru/authors/4319" TargetMode="External"/><Relationship Id="rId29" Type="http://schemas.openxmlformats.org/officeDocument/2006/relationships/hyperlink" Target="http://biomolecula.ru/content/1793" TargetMode="External"/><Relationship Id="rId24" Type="http://schemas.openxmlformats.org/officeDocument/2006/relationships/hyperlink" Target="http://biomolecula.ru/authors/4712" TargetMode="External"/><Relationship Id="rId40" Type="http://schemas.openxmlformats.org/officeDocument/2006/relationships/hyperlink" Target="http://biomolecula.ru/authors/4789" TargetMode="External"/><Relationship Id="rId45" Type="http://schemas.openxmlformats.org/officeDocument/2006/relationships/hyperlink" Target="http://biomolecula.ru/content/1804" TargetMode="External"/><Relationship Id="rId66" Type="http://schemas.openxmlformats.org/officeDocument/2006/relationships/hyperlink" Target="http://biomolecula.ru/authors/4518" TargetMode="External"/><Relationship Id="rId87" Type="http://schemas.openxmlformats.org/officeDocument/2006/relationships/hyperlink" Target="http://biomolecula.ru/content/1825" TargetMode="External"/><Relationship Id="rId110" Type="http://schemas.openxmlformats.org/officeDocument/2006/relationships/hyperlink" Target="http://biomolecula.ru/authors/2759" TargetMode="External"/><Relationship Id="rId115" Type="http://schemas.openxmlformats.org/officeDocument/2006/relationships/hyperlink" Target="http://biomolecula.ru/content/1842" TargetMode="External"/><Relationship Id="rId131" Type="http://schemas.openxmlformats.org/officeDocument/2006/relationships/hyperlink" Target="http://biomolecula.ru/authors/4684" TargetMode="External"/><Relationship Id="rId136" Type="http://schemas.openxmlformats.org/officeDocument/2006/relationships/hyperlink" Target="http://biomolecula.ru/content/1779" TargetMode="External"/><Relationship Id="rId61" Type="http://schemas.openxmlformats.org/officeDocument/2006/relationships/hyperlink" Target="http://biomolecula.ru/content/1725" TargetMode="External"/><Relationship Id="rId82" Type="http://schemas.openxmlformats.org/officeDocument/2006/relationships/hyperlink" Target="http://biomolecula.ru/authors/2833" TargetMode="External"/><Relationship Id="rId152" Type="http://schemas.openxmlformats.org/officeDocument/2006/relationships/hyperlink" Target="http://biomolecula.ru/content/1806" TargetMode="External"/><Relationship Id="rId19" Type="http://schemas.openxmlformats.org/officeDocument/2006/relationships/hyperlink" Target="http://biomolecula.ru/content/1778" TargetMode="External"/><Relationship Id="rId14" Type="http://schemas.openxmlformats.org/officeDocument/2006/relationships/hyperlink" Target="http://biomolecula.ru/authors/4735" TargetMode="External"/><Relationship Id="rId30" Type="http://schemas.openxmlformats.org/officeDocument/2006/relationships/hyperlink" Target="http://biomolecula.ru/authors/4794" TargetMode="External"/><Relationship Id="rId35" Type="http://schemas.openxmlformats.org/officeDocument/2006/relationships/hyperlink" Target="http://biomolecula.ru/content/1821" TargetMode="External"/><Relationship Id="rId56" Type="http://schemas.openxmlformats.org/officeDocument/2006/relationships/hyperlink" Target="http://biomolecula.ru/authors/4820" TargetMode="External"/><Relationship Id="rId77" Type="http://schemas.openxmlformats.org/officeDocument/2006/relationships/hyperlink" Target="http://biomolecula.ru/content/1809" TargetMode="External"/><Relationship Id="rId100" Type="http://schemas.openxmlformats.org/officeDocument/2006/relationships/hyperlink" Target="http://biomolecula.ru/authors/4269" TargetMode="External"/><Relationship Id="rId105" Type="http://schemas.openxmlformats.org/officeDocument/2006/relationships/hyperlink" Target="http://biomolecula.ru/content/1805" TargetMode="External"/><Relationship Id="rId126" Type="http://schemas.openxmlformats.org/officeDocument/2006/relationships/hyperlink" Target="http://biomolecula.ru/content/1837" TargetMode="External"/><Relationship Id="rId147" Type="http://schemas.openxmlformats.org/officeDocument/2006/relationships/hyperlink" Target="http://biomolecula.ru/authors/4843" TargetMode="External"/><Relationship Id="rId8" Type="http://schemas.openxmlformats.org/officeDocument/2006/relationships/hyperlink" Target="http://biomolecula.ru/authors/4728" TargetMode="External"/><Relationship Id="rId51" Type="http://schemas.openxmlformats.org/officeDocument/2006/relationships/hyperlink" Target="http://biomolecula.ru/content/1839" TargetMode="External"/><Relationship Id="rId72" Type="http://schemas.openxmlformats.org/officeDocument/2006/relationships/hyperlink" Target="http://biomolecula.ru/authors/4802" TargetMode="External"/><Relationship Id="rId93" Type="http://schemas.openxmlformats.org/officeDocument/2006/relationships/hyperlink" Target="http://biomolecula.ru/content/1736" TargetMode="External"/><Relationship Id="rId98" Type="http://schemas.openxmlformats.org/officeDocument/2006/relationships/hyperlink" Target="http://biomolecula.ru/authors/4714" TargetMode="External"/><Relationship Id="rId121" Type="http://schemas.openxmlformats.org/officeDocument/2006/relationships/hyperlink" Target="http://biomolecula.ru/authors/4265" TargetMode="External"/><Relationship Id="rId142" Type="http://schemas.openxmlformats.org/officeDocument/2006/relationships/hyperlink" Target="http://biomolecula.ru/content/1812" TargetMode="External"/><Relationship Id="rId3" Type="http://schemas.openxmlformats.org/officeDocument/2006/relationships/hyperlink" Target="http://biomolecula.ru/content/174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biomolecula.ru/authors/4735" TargetMode="External"/><Relationship Id="rId117" Type="http://schemas.openxmlformats.org/officeDocument/2006/relationships/hyperlink" Target="http://biomolecula.ru/content/1807" TargetMode="External"/><Relationship Id="rId21" Type="http://schemas.openxmlformats.org/officeDocument/2006/relationships/hyperlink" Target="http://biomolecula.ru/content/1755" TargetMode="External"/><Relationship Id="rId42" Type="http://schemas.openxmlformats.org/officeDocument/2006/relationships/hyperlink" Target="http://biomolecula.ru/authors/4277" TargetMode="External"/><Relationship Id="rId47" Type="http://schemas.openxmlformats.org/officeDocument/2006/relationships/hyperlink" Target="http://biomolecula.ru/content/1786" TargetMode="External"/><Relationship Id="rId63" Type="http://schemas.openxmlformats.org/officeDocument/2006/relationships/hyperlink" Target="http://biomolecula.ru/content/1814" TargetMode="External"/><Relationship Id="rId68" Type="http://schemas.openxmlformats.org/officeDocument/2006/relationships/hyperlink" Target="http://biomolecula.ru/authors/4830" TargetMode="External"/><Relationship Id="rId84" Type="http://schemas.openxmlformats.org/officeDocument/2006/relationships/hyperlink" Target="http://biomolecula.ru/authors/4657" TargetMode="External"/><Relationship Id="rId89" Type="http://schemas.openxmlformats.org/officeDocument/2006/relationships/hyperlink" Target="http://biomolecula.ru/content/1800" TargetMode="External"/><Relationship Id="rId112" Type="http://schemas.openxmlformats.org/officeDocument/2006/relationships/hyperlink" Target="http://biomolecula.ru/authors/4844" TargetMode="External"/><Relationship Id="rId133" Type="http://schemas.openxmlformats.org/officeDocument/2006/relationships/hyperlink" Target="http://biomolecula.ru/content/1836" TargetMode="External"/><Relationship Id="rId138" Type="http://schemas.openxmlformats.org/officeDocument/2006/relationships/hyperlink" Target="http://biomolecula.ru/authors/4637" TargetMode="External"/><Relationship Id="rId154" Type="http://schemas.openxmlformats.org/officeDocument/2006/relationships/hyperlink" Target="http://biomolecula.ru/authors/4820" TargetMode="External"/><Relationship Id="rId16" Type="http://schemas.openxmlformats.org/officeDocument/2006/relationships/hyperlink" Target="http://biomolecula.ru/authors/4684" TargetMode="External"/><Relationship Id="rId107" Type="http://schemas.openxmlformats.org/officeDocument/2006/relationships/hyperlink" Target="http://biomolecula.ru/content/1804" TargetMode="External"/><Relationship Id="rId11" Type="http://schemas.openxmlformats.org/officeDocument/2006/relationships/hyperlink" Target="http://biomolecula.ru/content/1741" TargetMode="External"/><Relationship Id="rId32" Type="http://schemas.openxmlformats.org/officeDocument/2006/relationships/hyperlink" Target="http://biomolecula.ru/authors/3877" TargetMode="External"/><Relationship Id="rId37" Type="http://schemas.openxmlformats.org/officeDocument/2006/relationships/hyperlink" Target="http://biomolecula.ru/content/1778" TargetMode="External"/><Relationship Id="rId53" Type="http://schemas.openxmlformats.org/officeDocument/2006/relationships/hyperlink" Target="http://biomolecula.ru/content/1789" TargetMode="External"/><Relationship Id="rId58" Type="http://schemas.openxmlformats.org/officeDocument/2006/relationships/hyperlink" Target="http://biomolecula.ru/authors/4857" TargetMode="External"/><Relationship Id="rId74" Type="http://schemas.openxmlformats.org/officeDocument/2006/relationships/hyperlink" Target="http://biomolecula.ru/authors/4269" TargetMode="External"/><Relationship Id="rId79" Type="http://schemas.openxmlformats.org/officeDocument/2006/relationships/hyperlink" Target="http://biomolecula.ru/content/1818" TargetMode="External"/><Relationship Id="rId102" Type="http://schemas.openxmlformats.org/officeDocument/2006/relationships/hyperlink" Target="http://biomolecula.ru/authors/4354" TargetMode="External"/><Relationship Id="rId123" Type="http://schemas.openxmlformats.org/officeDocument/2006/relationships/hyperlink" Target="http://biomolecula.ru/content/1810" TargetMode="External"/><Relationship Id="rId128" Type="http://schemas.openxmlformats.org/officeDocument/2006/relationships/hyperlink" Target="http://biomolecula.ru/content/1834" TargetMode="External"/><Relationship Id="rId144" Type="http://schemas.openxmlformats.org/officeDocument/2006/relationships/hyperlink" Target="http://biomolecula.ru/authors/4332" TargetMode="External"/><Relationship Id="rId149" Type="http://schemas.openxmlformats.org/officeDocument/2006/relationships/hyperlink" Target="http://biomolecula.ru/authors/4348" TargetMode="External"/><Relationship Id="rId5" Type="http://schemas.openxmlformats.org/officeDocument/2006/relationships/hyperlink" Target="http://biomolecula.ru/content/1725" TargetMode="External"/><Relationship Id="rId90" Type="http://schemas.openxmlformats.org/officeDocument/2006/relationships/hyperlink" Target="http://biomolecula.ru/authors/4793" TargetMode="External"/><Relationship Id="rId95" Type="http://schemas.openxmlformats.org/officeDocument/2006/relationships/hyperlink" Target="http://biomolecula.ru/content/1801" TargetMode="External"/><Relationship Id="rId22" Type="http://schemas.openxmlformats.org/officeDocument/2006/relationships/hyperlink" Target="http://biomolecula.ru/authors/4699" TargetMode="External"/><Relationship Id="rId27" Type="http://schemas.openxmlformats.org/officeDocument/2006/relationships/hyperlink" Target="http://biomolecula.ru/content/1769" TargetMode="External"/><Relationship Id="rId43" Type="http://schemas.openxmlformats.org/officeDocument/2006/relationships/hyperlink" Target="http://biomolecula.ru/content/1779" TargetMode="External"/><Relationship Id="rId48" Type="http://schemas.openxmlformats.org/officeDocument/2006/relationships/hyperlink" Target="http://biomolecula.ru/authors/3680" TargetMode="External"/><Relationship Id="rId64" Type="http://schemas.openxmlformats.org/officeDocument/2006/relationships/hyperlink" Target="http://biomolecula.ru/authors/4828" TargetMode="External"/><Relationship Id="rId69" Type="http://schemas.openxmlformats.org/officeDocument/2006/relationships/hyperlink" Target="http://biomolecula.ru/content/1795" TargetMode="External"/><Relationship Id="rId113" Type="http://schemas.openxmlformats.org/officeDocument/2006/relationships/hyperlink" Target="http://biomolecula.ru/content/1805" TargetMode="External"/><Relationship Id="rId118" Type="http://schemas.openxmlformats.org/officeDocument/2006/relationships/hyperlink" Target="http://biomolecula.ru/authors/3109" TargetMode="External"/><Relationship Id="rId134" Type="http://schemas.openxmlformats.org/officeDocument/2006/relationships/hyperlink" Target="http://biomolecula.ru/authors/4815" TargetMode="External"/><Relationship Id="rId139" Type="http://schemas.openxmlformats.org/officeDocument/2006/relationships/hyperlink" Target="http://biomolecula.ru/content/1839" TargetMode="External"/><Relationship Id="rId80" Type="http://schemas.openxmlformats.org/officeDocument/2006/relationships/hyperlink" Target="http://biomolecula.ru/authors/4802" TargetMode="External"/><Relationship Id="rId85" Type="http://schemas.openxmlformats.org/officeDocument/2006/relationships/hyperlink" Target="http://biomolecula.ru/content/1821" TargetMode="External"/><Relationship Id="rId150" Type="http://schemas.openxmlformats.org/officeDocument/2006/relationships/hyperlink" Target="http://biomolecula.ru/content/1844" TargetMode="External"/><Relationship Id="rId155" Type="http://schemas.openxmlformats.org/officeDocument/2006/relationships/hyperlink" Target="http://biomolecula.ru/content/1847" TargetMode="External"/><Relationship Id="rId12" Type="http://schemas.openxmlformats.org/officeDocument/2006/relationships/hyperlink" Target="http://biomolecula.ru/authors/3893" TargetMode="External"/><Relationship Id="rId17" Type="http://schemas.openxmlformats.org/officeDocument/2006/relationships/hyperlink" Target="http://biomolecula.ru/content/1750" TargetMode="External"/><Relationship Id="rId25" Type="http://schemas.openxmlformats.org/officeDocument/2006/relationships/hyperlink" Target="http://biomolecula.ru/content/1762" TargetMode="External"/><Relationship Id="rId33" Type="http://schemas.openxmlformats.org/officeDocument/2006/relationships/hyperlink" Target="http://biomolecula.ru/content/1773" TargetMode="External"/><Relationship Id="rId38" Type="http://schemas.openxmlformats.org/officeDocument/2006/relationships/hyperlink" Target="http://biomolecula.ru/authors/4791" TargetMode="External"/><Relationship Id="rId46" Type="http://schemas.openxmlformats.org/officeDocument/2006/relationships/hyperlink" Target="http://biomolecula.ru/authors/2833" TargetMode="External"/><Relationship Id="rId59" Type="http://schemas.openxmlformats.org/officeDocument/2006/relationships/hyperlink" Target="http://biomolecula.ru/content/1791" TargetMode="External"/><Relationship Id="rId67" Type="http://schemas.openxmlformats.org/officeDocument/2006/relationships/hyperlink" Target="http://biomolecula.ru/content/1794" TargetMode="External"/><Relationship Id="rId103" Type="http://schemas.openxmlformats.org/officeDocument/2006/relationships/hyperlink" Target="http://biomolecula.ru/content/1826" TargetMode="External"/><Relationship Id="rId108" Type="http://schemas.openxmlformats.org/officeDocument/2006/relationships/hyperlink" Target="http://biomolecula.ru/authors/4809" TargetMode="External"/><Relationship Id="rId116" Type="http://schemas.openxmlformats.org/officeDocument/2006/relationships/hyperlink" Target="http://biomolecula.ru/authors/4791" TargetMode="External"/><Relationship Id="rId124" Type="http://schemas.openxmlformats.org/officeDocument/2006/relationships/hyperlink" Target="http://biomolecula.ru/content/1832" TargetMode="External"/><Relationship Id="rId129" Type="http://schemas.openxmlformats.org/officeDocument/2006/relationships/hyperlink" Target="http://biomolecula.ru/authors/4714" TargetMode="External"/><Relationship Id="rId137" Type="http://schemas.openxmlformats.org/officeDocument/2006/relationships/hyperlink" Target="http://biomolecula.ru/content/1838" TargetMode="External"/><Relationship Id="rId20" Type="http://schemas.openxmlformats.org/officeDocument/2006/relationships/hyperlink" Target="http://biomolecula.ru/authors/4736" TargetMode="External"/><Relationship Id="rId41" Type="http://schemas.openxmlformats.org/officeDocument/2006/relationships/hyperlink" Target="http://biomolecula.ru/content/1784" TargetMode="External"/><Relationship Id="rId54" Type="http://schemas.openxmlformats.org/officeDocument/2006/relationships/hyperlink" Target="http://biomolecula.ru/authors/4712" TargetMode="External"/><Relationship Id="rId62" Type="http://schemas.openxmlformats.org/officeDocument/2006/relationships/hyperlink" Target="http://biomolecula.ru/authors/4675" TargetMode="External"/><Relationship Id="rId70" Type="http://schemas.openxmlformats.org/officeDocument/2006/relationships/hyperlink" Target="http://biomolecula.ru/authors/4776" TargetMode="External"/><Relationship Id="rId75" Type="http://schemas.openxmlformats.org/officeDocument/2006/relationships/hyperlink" Target="http://biomolecula.ru/content/1796" TargetMode="External"/><Relationship Id="rId83" Type="http://schemas.openxmlformats.org/officeDocument/2006/relationships/hyperlink" Target="http://biomolecula.ru/content/1819" TargetMode="External"/><Relationship Id="rId88" Type="http://schemas.openxmlformats.org/officeDocument/2006/relationships/hyperlink" Target="http://biomolecula.ru/authors/4790" TargetMode="External"/><Relationship Id="rId91" Type="http://schemas.openxmlformats.org/officeDocument/2006/relationships/hyperlink" Target="http://biomolecula.ru/content/1822" TargetMode="External"/><Relationship Id="rId96" Type="http://schemas.openxmlformats.org/officeDocument/2006/relationships/hyperlink" Target="http://biomolecula.ru/authors/4817" TargetMode="External"/><Relationship Id="rId111" Type="http://schemas.openxmlformats.org/officeDocument/2006/relationships/hyperlink" Target="http://biomolecula.ru/content/1830" TargetMode="External"/><Relationship Id="rId132" Type="http://schemas.openxmlformats.org/officeDocument/2006/relationships/hyperlink" Target="http://biomolecula.ru/authors/4849" TargetMode="External"/><Relationship Id="rId140" Type="http://schemas.openxmlformats.org/officeDocument/2006/relationships/hyperlink" Target="http://biomolecula.ru/authors/4339" TargetMode="External"/><Relationship Id="rId145" Type="http://schemas.openxmlformats.org/officeDocument/2006/relationships/hyperlink" Target="http://biomolecula.ru/content/1842" TargetMode="External"/><Relationship Id="rId153" Type="http://schemas.openxmlformats.org/officeDocument/2006/relationships/hyperlink" Target="http://biomolecula.ru/content/1846" TargetMode="External"/><Relationship Id="rId1" Type="http://schemas.openxmlformats.org/officeDocument/2006/relationships/hyperlink" Target="http://biomolecula.ru/authors/4319" TargetMode="External"/><Relationship Id="rId6" Type="http://schemas.openxmlformats.org/officeDocument/2006/relationships/hyperlink" Target="http://biomolecula.ru/authors/4652" TargetMode="External"/><Relationship Id="rId15" Type="http://schemas.openxmlformats.org/officeDocument/2006/relationships/hyperlink" Target="http://biomolecula.ru/content/1747" TargetMode="External"/><Relationship Id="rId23" Type="http://schemas.openxmlformats.org/officeDocument/2006/relationships/hyperlink" Target="http://biomolecula.ru/content/1756" TargetMode="External"/><Relationship Id="rId28" Type="http://schemas.openxmlformats.org/officeDocument/2006/relationships/hyperlink" Target="http://biomolecula.ru/authors/1843" TargetMode="External"/><Relationship Id="rId36" Type="http://schemas.openxmlformats.org/officeDocument/2006/relationships/hyperlink" Target="http://biomolecula.ru/authors/4714" TargetMode="External"/><Relationship Id="rId49" Type="http://schemas.openxmlformats.org/officeDocument/2006/relationships/hyperlink" Target="http://biomolecula.ru/content/1787" TargetMode="External"/><Relationship Id="rId57" Type="http://schemas.openxmlformats.org/officeDocument/2006/relationships/hyperlink" Target="http://biomolecula.ru/content/1812" TargetMode="External"/><Relationship Id="rId106" Type="http://schemas.openxmlformats.org/officeDocument/2006/relationships/hyperlink" Target="http://biomolecula.ru/authors/4822" TargetMode="External"/><Relationship Id="rId114" Type="http://schemas.openxmlformats.org/officeDocument/2006/relationships/hyperlink" Target="http://biomolecula.ru/authors/2050" TargetMode="External"/><Relationship Id="rId119" Type="http://schemas.openxmlformats.org/officeDocument/2006/relationships/hyperlink" Target="http://biomolecula.ru/content/1808" TargetMode="External"/><Relationship Id="rId127" Type="http://schemas.openxmlformats.org/officeDocument/2006/relationships/hyperlink" Target="http://biomolecula.ru/authors/4265" TargetMode="External"/><Relationship Id="rId10" Type="http://schemas.openxmlformats.org/officeDocument/2006/relationships/hyperlink" Target="http://biomolecula.ru/authors/4693" TargetMode="External"/><Relationship Id="rId31" Type="http://schemas.openxmlformats.org/officeDocument/2006/relationships/hyperlink" Target="http://biomolecula.ru/content/1771" TargetMode="External"/><Relationship Id="rId44" Type="http://schemas.openxmlformats.org/officeDocument/2006/relationships/hyperlink" Target="http://biomolecula.ru/authors/4845" TargetMode="External"/><Relationship Id="rId52" Type="http://schemas.openxmlformats.org/officeDocument/2006/relationships/hyperlink" Target="http://biomolecula.ru/authors/4824" TargetMode="External"/><Relationship Id="rId60" Type="http://schemas.openxmlformats.org/officeDocument/2006/relationships/hyperlink" Target="http://biomolecula.ru/authors/4798" TargetMode="External"/><Relationship Id="rId65" Type="http://schemas.openxmlformats.org/officeDocument/2006/relationships/hyperlink" Target="http://biomolecula.ru/content/1793" TargetMode="External"/><Relationship Id="rId73" Type="http://schemas.openxmlformats.org/officeDocument/2006/relationships/hyperlink" Target="http://biomolecula.ru/content/1816" TargetMode="External"/><Relationship Id="rId78" Type="http://schemas.openxmlformats.org/officeDocument/2006/relationships/hyperlink" Target="http://biomolecula.ru/authors/4842" TargetMode="External"/><Relationship Id="rId81" Type="http://schemas.openxmlformats.org/officeDocument/2006/relationships/hyperlink" Target="http://biomolecula.ru/content/1798" TargetMode="External"/><Relationship Id="rId86" Type="http://schemas.openxmlformats.org/officeDocument/2006/relationships/hyperlink" Target="http://biomolecula.ru/authors/3833" TargetMode="External"/><Relationship Id="rId94" Type="http://schemas.openxmlformats.org/officeDocument/2006/relationships/hyperlink" Target="http://biomolecula.ru/authors/4789" TargetMode="External"/><Relationship Id="rId99" Type="http://schemas.openxmlformats.org/officeDocument/2006/relationships/hyperlink" Target="http://biomolecula.ru/content/1802" TargetMode="External"/><Relationship Id="rId101" Type="http://schemas.openxmlformats.org/officeDocument/2006/relationships/hyperlink" Target="http://biomolecula.ru/content/1803" TargetMode="External"/><Relationship Id="rId122" Type="http://schemas.openxmlformats.org/officeDocument/2006/relationships/hyperlink" Target="http://biomolecula.ru/authors/4840" TargetMode="External"/><Relationship Id="rId130" Type="http://schemas.openxmlformats.org/officeDocument/2006/relationships/hyperlink" Target="http://biomolecula.ru/content/1835" TargetMode="External"/><Relationship Id="rId135" Type="http://schemas.openxmlformats.org/officeDocument/2006/relationships/hyperlink" Target="http://biomolecula.ru/content/1837" TargetMode="External"/><Relationship Id="rId143" Type="http://schemas.openxmlformats.org/officeDocument/2006/relationships/hyperlink" Target="http://biomolecula.ru/content/1841" TargetMode="External"/><Relationship Id="rId148" Type="http://schemas.openxmlformats.org/officeDocument/2006/relationships/hyperlink" Target="http://biomolecula.ru/authors/4348" TargetMode="External"/><Relationship Id="rId151" Type="http://schemas.openxmlformats.org/officeDocument/2006/relationships/hyperlink" Target="http://biomolecula.ru/content/1845" TargetMode="External"/><Relationship Id="rId156" Type="http://schemas.openxmlformats.org/officeDocument/2006/relationships/hyperlink" Target="http://biomolecula.ru/authors/4831" TargetMode="External"/><Relationship Id="rId4" Type="http://schemas.openxmlformats.org/officeDocument/2006/relationships/hyperlink" Target="http://biomolecula.ru/authors/3680" TargetMode="External"/><Relationship Id="rId9" Type="http://schemas.openxmlformats.org/officeDocument/2006/relationships/hyperlink" Target="http://biomolecula.ru/content/1736" TargetMode="External"/><Relationship Id="rId13" Type="http://schemas.openxmlformats.org/officeDocument/2006/relationships/hyperlink" Target="http://biomolecula.ru/authors/3893" TargetMode="External"/><Relationship Id="rId18" Type="http://schemas.openxmlformats.org/officeDocument/2006/relationships/hyperlink" Target="http://biomolecula.ru/authors/4728" TargetMode="External"/><Relationship Id="rId39" Type="http://schemas.openxmlformats.org/officeDocument/2006/relationships/hyperlink" Target="http://biomolecula.ru/content/1782" TargetMode="External"/><Relationship Id="rId109" Type="http://schemas.openxmlformats.org/officeDocument/2006/relationships/hyperlink" Target="http://biomolecula.ru/content/1828" TargetMode="External"/><Relationship Id="rId34" Type="http://schemas.openxmlformats.org/officeDocument/2006/relationships/hyperlink" Target="http://biomolecula.ru/authors/4675" TargetMode="External"/><Relationship Id="rId50" Type="http://schemas.openxmlformats.org/officeDocument/2006/relationships/hyperlink" Target="http://biomolecula.ru/authors/4714" TargetMode="External"/><Relationship Id="rId55" Type="http://schemas.openxmlformats.org/officeDocument/2006/relationships/hyperlink" Target="http://biomolecula.ru/content/1790" TargetMode="External"/><Relationship Id="rId76" Type="http://schemas.openxmlformats.org/officeDocument/2006/relationships/hyperlink" Target="http://biomolecula.ru/authors/3718" TargetMode="External"/><Relationship Id="rId97" Type="http://schemas.openxmlformats.org/officeDocument/2006/relationships/hyperlink" Target="http://biomolecula.ru/content/1825" TargetMode="External"/><Relationship Id="rId104" Type="http://schemas.openxmlformats.org/officeDocument/2006/relationships/hyperlink" Target="http://biomolecula.ru/authors/4797" TargetMode="External"/><Relationship Id="rId120" Type="http://schemas.openxmlformats.org/officeDocument/2006/relationships/hyperlink" Target="http://biomolecula.ru/authors/4732" TargetMode="External"/><Relationship Id="rId125" Type="http://schemas.openxmlformats.org/officeDocument/2006/relationships/hyperlink" Target="http://biomolecula.ru/authors/2759" TargetMode="External"/><Relationship Id="rId141" Type="http://schemas.openxmlformats.org/officeDocument/2006/relationships/hyperlink" Target="http://biomolecula.ru/content/1840" TargetMode="External"/><Relationship Id="rId146" Type="http://schemas.openxmlformats.org/officeDocument/2006/relationships/hyperlink" Target="http://biomolecula.ru/authors/4336" TargetMode="External"/><Relationship Id="rId7" Type="http://schemas.openxmlformats.org/officeDocument/2006/relationships/hyperlink" Target="http://biomolecula.ru/authors/4602" TargetMode="External"/><Relationship Id="rId71" Type="http://schemas.openxmlformats.org/officeDocument/2006/relationships/hyperlink" Target="http://biomolecula.ru/content/1797" TargetMode="External"/><Relationship Id="rId92" Type="http://schemas.openxmlformats.org/officeDocument/2006/relationships/hyperlink" Target="http://biomolecula.ru/authors/4812" TargetMode="External"/><Relationship Id="rId2" Type="http://schemas.openxmlformats.org/officeDocument/2006/relationships/hyperlink" Target="http://biomolecula.ru/content/1708" TargetMode="External"/><Relationship Id="rId29" Type="http://schemas.openxmlformats.org/officeDocument/2006/relationships/hyperlink" Target="http://biomolecula.ru/content/1770" TargetMode="External"/><Relationship Id="rId24" Type="http://schemas.openxmlformats.org/officeDocument/2006/relationships/hyperlink" Target="http://biomolecula.ru/authors/4682" TargetMode="External"/><Relationship Id="rId40" Type="http://schemas.openxmlformats.org/officeDocument/2006/relationships/hyperlink" Target="http://biomolecula.ru/authors/4787" TargetMode="External"/><Relationship Id="rId45" Type="http://schemas.openxmlformats.org/officeDocument/2006/relationships/hyperlink" Target="http://biomolecula.ru/content/1785" TargetMode="External"/><Relationship Id="rId66" Type="http://schemas.openxmlformats.org/officeDocument/2006/relationships/hyperlink" Target="http://biomolecula.ru/authors/4794" TargetMode="External"/><Relationship Id="rId87" Type="http://schemas.openxmlformats.org/officeDocument/2006/relationships/hyperlink" Target="http://biomolecula.ru/content/1799" TargetMode="External"/><Relationship Id="rId110" Type="http://schemas.openxmlformats.org/officeDocument/2006/relationships/hyperlink" Target="http://biomolecula.ru/authors/4805" TargetMode="External"/><Relationship Id="rId115" Type="http://schemas.openxmlformats.org/officeDocument/2006/relationships/hyperlink" Target="http://biomolecula.ru/content/1806" TargetMode="External"/><Relationship Id="rId131" Type="http://schemas.openxmlformats.org/officeDocument/2006/relationships/hyperlink" Target="http://biomolecula.ru/authors/4775" TargetMode="External"/><Relationship Id="rId136" Type="http://schemas.openxmlformats.org/officeDocument/2006/relationships/hyperlink" Target="http://biomolecula.ru/authors/4779" TargetMode="External"/><Relationship Id="rId61" Type="http://schemas.openxmlformats.org/officeDocument/2006/relationships/hyperlink" Target="http://biomolecula.ru/content/1792" TargetMode="External"/><Relationship Id="rId82" Type="http://schemas.openxmlformats.org/officeDocument/2006/relationships/hyperlink" Target="http://biomolecula.ru/authors/4755" TargetMode="External"/><Relationship Id="rId152" Type="http://schemas.openxmlformats.org/officeDocument/2006/relationships/hyperlink" Target="http://biomolecula.ru/authors/4858" TargetMode="External"/><Relationship Id="rId19" Type="http://schemas.openxmlformats.org/officeDocument/2006/relationships/hyperlink" Target="http://biomolecula.ru/content/1751" TargetMode="External"/><Relationship Id="rId14" Type="http://schemas.openxmlformats.org/officeDocument/2006/relationships/hyperlink" Target="http://biomolecula.ru/content/1742" TargetMode="External"/><Relationship Id="rId30" Type="http://schemas.openxmlformats.org/officeDocument/2006/relationships/hyperlink" Target="http://biomolecula.ru/authors/4518" TargetMode="External"/><Relationship Id="rId35" Type="http://schemas.openxmlformats.org/officeDocument/2006/relationships/hyperlink" Target="http://biomolecula.ru/content/1777" TargetMode="External"/><Relationship Id="rId56" Type="http://schemas.openxmlformats.org/officeDocument/2006/relationships/hyperlink" Target="http://biomolecula.ru/authors/4800" TargetMode="External"/><Relationship Id="rId77" Type="http://schemas.openxmlformats.org/officeDocument/2006/relationships/hyperlink" Target="http://biomolecula.ru/content/1817" TargetMode="External"/><Relationship Id="rId100" Type="http://schemas.openxmlformats.org/officeDocument/2006/relationships/hyperlink" Target="http://biomolecula.ru/authors/4762" TargetMode="External"/><Relationship Id="rId105" Type="http://schemas.openxmlformats.org/officeDocument/2006/relationships/hyperlink" Target="http://biomolecula.ru/content/1827" TargetMode="External"/><Relationship Id="rId126" Type="http://schemas.openxmlformats.org/officeDocument/2006/relationships/hyperlink" Target="http://biomolecula.ru/content/1833" TargetMode="External"/><Relationship Id="rId147" Type="http://schemas.openxmlformats.org/officeDocument/2006/relationships/hyperlink" Target="http://biomolecula.ru/content/1843" TargetMode="External"/><Relationship Id="rId8" Type="http://schemas.openxmlformats.org/officeDocument/2006/relationships/hyperlink" Target="http://biomolecula.ru/content/1732" TargetMode="External"/><Relationship Id="rId51" Type="http://schemas.openxmlformats.org/officeDocument/2006/relationships/hyperlink" Target="http://biomolecula.ru/content/1783" TargetMode="External"/><Relationship Id="rId72" Type="http://schemas.openxmlformats.org/officeDocument/2006/relationships/hyperlink" Target="http://biomolecula.ru/authors/4843" TargetMode="External"/><Relationship Id="rId93" Type="http://schemas.openxmlformats.org/officeDocument/2006/relationships/hyperlink" Target="http://biomolecula.ru/content/1823" TargetMode="External"/><Relationship Id="rId98" Type="http://schemas.openxmlformats.org/officeDocument/2006/relationships/hyperlink" Target="http://biomolecula.ru/authors/4846" TargetMode="External"/><Relationship Id="rId121" Type="http://schemas.openxmlformats.org/officeDocument/2006/relationships/hyperlink" Target="http://biomolecula.ru/content/1809" TargetMode="External"/><Relationship Id="rId142" Type="http://schemas.openxmlformats.org/officeDocument/2006/relationships/hyperlink" Target="http://biomolecula.ru/authors/4331" TargetMode="External"/><Relationship Id="rId3" Type="http://schemas.openxmlformats.org/officeDocument/2006/relationships/hyperlink" Target="http://biomolecula.ru/content/1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9"/>
  <sheetViews>
    <sheetView tabSelected="1" topLeftCell="A61" zoomScale="80" zoomScaleNormal="80" workbookViewId="0">
      <selection activeCell="A88" sqref="A88"/>
    </sheetView>
  </sheetViews>
  <sheetFormatPr defaultColWidth="11" defaultRowHeight="15.75" x14ac:dyDescent="0.25"/>
  <cols>
    <col min="1" max="1" width="81.875" customWidth="1"/>
    <col min="2" max="2" width="23" customWidth="1"/>
    <col min="3" max="18" width="8.625" customWidth="1"/>
  </cols>
  <sheetData>
    <row r="1" spans="1:18" x14ac:dyDescent="0.25">
      <c r="A1" s="1" t="s">
        <v>14</v>
      </c>
      <c r="B1" s="18"/>
      <c r="C1" s="18"/>
      <c r="D1" s="18"/>
      <c r="E1" s="18"/>
      <c r="F1" s="18"/>
      <c r="G1" s="18"/>
    </row>
    <row r="2" spans="1:18" x14ac:dyDescent="0.25">
      <c r="D2" s="102" t="s">
        <v>171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2" customFormat="1" ht="18.75" x14ac:dyDescent="0.3">
      <c r="A3" s="3" t="s">
        <v>3</v>
      </c>
      <c r="B3" s="3" t="s">
        <v>4</v>
      </c>
      <c r="C3" s="3" t="s">
        <v>170</v>
      </c>
      <c r="D3" s="10" t="s">
        <v>199</v>
      </c>
      <c r="E3" s="3" t="s">
        <v>172</v>
      </c>
      <c r="F3" s="3" t="s">
        <v>200</v>
      </c>
      <c r="G3" s="3" t="s">
        <v>201</v>
      </c>
      <c r="H3" s="3" t="s">
        <v>202</v>
      </c>
      <c r="I3" s="3" t="s">
        <v>203</v>
      </c>
      <c r="J3" s="3" t="s">
        <v>204</v>
      </c>
      <c r="K3" s="3" t="s">
        <v>205</v>
      </c>
      <c r="L3" s="3" t="s">
        <v>206</v>
      </c>
      <c r="M3" s="3" t="s">
        <v>207</v>
      </c>
      <c r="N3" s="3" t="s">
        <v>208</v>
      </c>
      <c r="O3" s="3" t="s">
        <v>209</v>
      </c>
      <c r="P3" s="3" t="s">
        <v>210</v>
      </c>
      <c r="Q3" s="3" t="s">
        <v>211</v>
      </c>
      <c r="R3" s="3" t="s">
        <v>212</v>
      </c>
    </row>
    <row r="4" spans="1:18" s="2" customFormat="1" ht="18.75" x14ac:dyDescent="0.3">
      <c r="A4" s="4"/>
      <c r="B4" s="4"/>
      <c r="C4" s="16"/>
      <c r="D4" s="4"/>
      <c r="E4" s="4"/>
      <c r="F4" s="4"/>
      <c r="G4" s="4"/>
    </row>
    <row r="5" spans="1:18" s="12" customFormat="1" x14ac:dyDescent="0.25">
      <c r="A5" s="1" t="s">
        <v>0</v>
      </c>
    </row>
    <row r="6" spans="1:18" s="12" customFormat="1" x14ac:dyDescent="0.25">
      <c r="A6" s="13" t="s">
        <v>21</v>
      </c>
      <c r="B6" s="6" t="s">
        <v>22</v>
      </c>
      <c r="C6">
        <f t="shared" ref="C6:C7" si="0">AVERAGE(D6:R6)</f>
        <v>0.13000206411515675</v>
      </c>
      <c r="D6" s="12">
        <f>AVERAGE(Башмакова!I6:L6)</f>
        <v>5.3103227804749693E-2</v>
      </c>
      <c r="E6" s="96"/>
      <c r="F6" s="12">
        <f>AVERAGE(Зимина!I6:L6)</f>
        <v>0.70296619702780794</v>
      </c>
      <c r="G6" s="12">
        <f>AVERAGE(Клещенко!I6:L6)</f>
        <v>-0.46813335075063933</v>
      </c>
      <c r="H6" s="96"/>
      <c r="J6" s="12">
        <f>AVERAGE(Мамонтов!I6:L6)</f>
        <v>0.19924372029023674</v>
      </c>
      <c r="K6" s="96"/>
      <c r="M6" s="12">
        <f>AVERAGE(Полянский!I6:L6)</f>
        <v>0.65386968115124411</v>
      </c>
      <c r="N6" s="12">
        <f>AVERAGE(Старокадомский!I6:L6)</f>
        <v>-0.85689952774586198</v>
      </c>
      <c r="P6" s="12">
        <f>AVERAGE(Чугунов!I6:L6)</f>
        <v>0.20498867786500261</v>
      </c>
      <c r="Q6" s="12">
        <f>AVERAGE(Якименко!I6:L6)</f>
        <v>0.55087788727871412</v>
      </c>
    </row>
    <row r="7" spans="1:18" s="12" customFormat="1" x14ac:dyDescent="0.25">
      <c r="A7" s="14" t="s">
        <v>31</v>
      </c>
      <c r="B7" s="6" t="s">
        <v>32</v>
      </c>
      <c r="C7" s="99">
        <f t="shared" si="0"/>
        <v>-0.32689166048068169</v>
      </c>
      <c r="D7" s="100">
        <f>AVERAGE(Башмакова!I7:L7)</f>
        <v>-0.3337917176298546</v>
      </c>
      <c r="E7" s="101"/>
      <c r="F7" s="100">
        <f>AVERAGE(Зимина!I7:L7)</f>
        <v>-3.6235370980814807E-2</v>
      </c>
      <c r="G7" s="100">
        <f>AVERAGE(Клещенко!I7:L7)</f>
        <v>-0.46813335075063933</v>
      </c>
      <c r="H7" s="96"/>
      <c r="J7" s="100">
        <f>AVERAGE(Мамонтов!I7:L7)</f>
        <v>-1.1556135776833696</v>
      </c>
      <c r="K7" s="96"/>
      <c r="M7" s="100">
        <f>AVERAGE(Полянский!I7:L7)</f>
        <v>0.65386968115124411</v>
      </c>
      <c r="N7" s="100">
        <f>AVERAGE(Старокадомский!I7:L7)</f>
        <v>-1.2210818270378536</v>
      </c>
      <c r="P7" s="100">
        <f>AVERAGE(Чугунов!I7:L7)</f>
        <v>-0.15550865217344931</v>
      </c>
      <c r="Q7" s="100">
        <f>AVERAGE(Якименко!I7:L7)</f>
        <v>0.10136153125928341</v>
      </c>
    </row>
    <row r="8" spans="1:18" s="12" customFormat="1" x14ac:dyDescent="0.25">
      <c r="A8" s="13" t="s">
        <v>33</v>
      </c>
      <c r="B8" s="6" t="s">
        <v>32</v>
      </c>
      <c r="C8" s="99"/>
      <c r="D8" s="100"/>
      <c r="E8" s="101"/>
      <c r="F8" s="100"/>
      <c r="G8" s="100"/>
      <c r="H8" s="96"/>
      <c r="J8" s="100"/>
      <c r="K8" s="96"/>
      <c r="M8" s="100"/>
      <c r="N8" s="100"/>
      <c r="P8" s="100"/>
      <c r="Q8" s="100"/>
    </row>
    <row r="9" spans="1:18" s="12" customFormat="1" x14ac:dyDescent="0.25">
      <c r="A9" s="13" t="s">
        <v>36</v>
      </c>
      <c r="B9" s="6" t="s">
        <v>37</v>
      </c>
      <c r="C9">
        <f t="shared" ref="C9:C70" si="1">AVERAGE(D9:R9)</f>
        <v>-0.16124037979347233</v>
      </c>
      <c r="D9" s="12">
        <f>AVERAGE(Башмакова!I9:L9)</f>
        <v>-0.25641272854293373</v>
      </c>
      <c r="E9" s="96"/>
      <c r="F9" s="12">
        <f>AVERAGE(Зимина!I9:L9)</f>
        <v>0.70296619702780794</v>
      </c>
      <c r="G9" s="12">
        <f>AVERAGE(Клещенко!I9:L9)</f>
        <v>-0.46813335075063933</v>
      </c>
      <c r="H9" s="96"/>
      <c r="J9" s="12">
        <f>AVERAGE(Мамонтов!I9:L9)</f>
        <v>0.19924372029023674</v>
      </c>
      <c r="K9" s="96"/>
      <c r="M9" s="12">
        <f>AVERAGE(Полянский!I9:L9)</f>
        <v>-0.23539308521444885</v>
      </c>
      <c r="N9" s="12">
        <f>AVERAGE(Старокадомский!I9:L9)</f>
        <v>-1.585264126329845</v>
      </c>
      <c r="P9" s="12">
        <f>AVERAGE(Чугунов!I9:L9)</f>
        <v>0.92598333794190646</v>
      </c>
      <c r="Q9" s="12">
        <f>AVERAGE(Якименко!I9:L9)</f>
        <v>-0.57291300276986268</v>
      </c>
    </row>
    <row r="10" spans="1:18" s="12" customFormat="1" x14ac:dyDescent="0.25">
      <c r="A10" s="13" t="s">
        <v>38</v>
      </c>
      <c r="B10" s="6" t="s">
        <v>39</v>
      </c>
      <c r="C10">
        <f t="shared" si="1"/>
        <v>0.17303324389820757</v>
      </c>
      <c r="D10" s="12">
        <f>AVERAGE(Башмакова!I10:L10)</f>
        <v>5.3103227804749693E-2</v>
      </c>
      <c r="E10" s="96"/>
      <c r="F10" s="12">
        <f>AVERAGE(Зимина!I10:L10)</f>
        <v>0.33336541302349659</v>
      </c>
      <c r="G10" s="12">
        <f>AVERAGE(Клещенко!I10:L10)</f>
        <v>6.241778010008503E-2</v>
      </c>
      <c r="H10" s="96"/>
      <c r="J10" s="12">
        <f>AVERAGE(Мамонтов!I10:L10)</f>
        <v>-0.81689925318996803</v>
      </c>
      <c r="K10" s="96"/>
      <c r="M10" s="12">
        <f>AVERAGE(Полянский!I10:L10)</f>
        <v>-0.23539308521444885</v>
      </c>
      <c r="N10" s="12">
        <f>AVERAGE(Старокадомский!I10:L10)</f>
        <v>0.59982966942210425</v>
      </c>
      <c r="P10" s="12">
        <f>AVERAGE(Чугунов!I10:L10)</f>
        <v>1.2864806679803584</v>
      </c>
      <c r="Q10" s="12">
        <f>AVERAGE(Якименко!I10:L10)</f>
        <v>0.10136153125928343</v>
      </c>
    </row>
    <row r="11" spans="1:18" s="12" customFormat="1" x14ac:dyDescent="0.25">
      <c r="A11" s="13" t="s">
        <v>42</v>
      </c>
      <c r="B11" s="6" t="s">
        <v>43</v>
      </c>
      <c r="C11">
        <f t="shared" si="1"/>
        <v>3.8215364163093984E-2</v>
      </c>
      <c r="D11" s="12">
        <f>AVERAGE(Башмакова!I11:L11)</f>
        <v>-2.4275761282171168E-2</v>
      </c>
      <c r="E11" s="96"/>
      <c r="F11" s="12">
        <f>AVERAGE(Зимина!I11:L11)</f>
        <v>-0.40583615498512615</v>
      </c>
      <c r="G11" s="12">
        <f>AVERAGE(Клещенко!I11:L11)</f>
        <v>0.59296891095080939</v>
      </c>
      <c r="H11" s="96"/>
      <c r="J11" s="12">
        <f>AVERAGE(Мамонтов!I11:L11)</f>
        <v>0.19924372029023674</v>
      </c>
      <c r="K11" s="96"/>
      <c r="M11" s="12">
        <f>AVERAGE(Полянский!I11:L11)</f>
        <v>-0.68002446839729536</v>
      </c>
      <c r="N11" s="12">
        <f>AVERAGE(Старокадомский!I11:L11)</f>
        <v>-0.49271722845387045</v>
      </c>
      <c r="P11" s="12">
        <f>AVERAGE(Чугунов!I11:L11)</f>
        <v>0.5654860079034546</v>
      </c>
      <c r="Q11" s="12">
        <f>AVERAGE(Якименко!I11:L11)</f>
        <v>0.55087788727871423</v>
      </c>
    </row>
    <row r="12" spans="1:18" s="12" customFormat="1" x14ac:dyDescent="0.25">
      <c r="A12" s="13" t="s">
        <v>44</v>
      </c>
      <c r="B12" s="6" t="s">
        <v>45</v>
      </c>
      <c r="C12">
        <f t="shared" si="1"/>
        <v>-0.18421564171498539</v>
      </c>
      <c r="D12" s="12">
        <f>AVERAGE(Башмакова!I12:L12)</f>
        <v>-0.3337917176298546</v>
      </c>
      <c r="E12" s="96"/>
      <c r="F12" s="12">
        <f>AVERAGE(Зимина!I12:L12)</f>
        <v>-3.6235370980814752E-2</v>
      </c>
      <c r="G12" s="12">
        <f>AVERAGE(Клещенко!I12:L12)</f>
        <v>-0.99868448160136369</v>
      </c>
      <c r="H12" s="96"/>
      <c r="J12" s="12">
        <f>AVERAGE(Мамонтов!I12:L12)</f>
        <v>-0.81689925318996803</v>
      </c>
      <c r="K12" s="96"/>
      <c r="M12" s="12">
        <f>AVERAGE(Полянский!I12:L12)</f>
        <v>0.20923829796839766</v>
      </c>
      <c r="N12" s="12">
        <f>AVERAGE(Старокадомский!I12:L12)</f>
        <v>0.96401196871409578</v>
      </c>
      <c r="P12" s="12">
        <f>AVERAGE(Чугунов!I12:L12)</f>
        <v>-1.2370006422888051</v>
      </c>
      <c r="Q12" s="12">
        <f>AVERAGE(Якименко!I12:L12)</f>
        <v>0.77563606528842943</v>
      </c>
    </row>
    <row r="13" spans="1:18" s="12" customFormat="1" x14ac:dyDescent="0.25">
      <c r="A13" s="13" t="s">
        <v>50</v>
      </c>
      <c r="B13" s="6" t="s">
        <v>51</v>
      </c>
      <c r="C13">
        <f t="shared" si="1"/>
        <v>-0.11558480858212777</v>
      </c>
      <c r="D13" s="12">
        <f>AVERAGE(Башмакова!I13:L13)</f>
        <v>-0.17903373945601286</v>
      </c>
      <c r="E13" s="96"/>
      <c r="F13" s="12">
        <f>AVERAGE(Зимина!I13:L13)</f>
        <v>0.70296619702780794</v>
      </c>
      <c r="G13" s="12">
        <f>AVERAGE(Клещенко!I13:L13)</f>
        <v>6.241778010008503E-2</v>
      </c>
      <c r="H13" s="96"/>
      <c r="J13" s="12">
        <f>AVERAGE(Мамонтов!I13:L13)</f>
        <v>-1.1556135776833696</v>
      </c>
      <c r="K13" s="96"/>
      <c r="M13" s="12">
        <f>AVERAGE(Полянский!I13:L13)</f>
        <v>-0.68002446839729536</v>
      </c>
      <c r="N13" s="12">
        <f>AVERAGE(Старокадомский!I13:L13)</f>
        <v>0.96401196871409578</v>
      </c>
      <c r="P13" s="12">
        <f>AVERAGE(Чугунов!I13:L13)</f>
        <v>-0.51600598221190119</v>
      </c>
      <c r="Q13" s="12">
        <f>AVERAGE(Якименко!I13:L13)</f>
        <v>-0.12339664675043197</v>
      </c>
    </row>
    <row r="14" spans="1:18" s="12" customFormat="1" x14ac:dyDescent="0.25">
      <c r="A14" s="13" t="s">
        <v>54</v>
      </c>
      <c r="B14" s="6" t="s">
        <v>55</v>
      </c>
      <c r="C14">
        <f t="shared" si="1"/>
        <v>0.56745555692478966</v>
      </c>
      <c r="D14" s="12">
        <f>AVERAGE(Башмакова!I14:L14)</f>
        <v>-2.4275761282171168E-2</v>
      </c>
      <c r="E14" s="96"/>
      <c r="F14" s="12">
        <f>AVERAGE(Зимина!I14:L14)</f>
        <v>0.33336541302349659</v>
      </c>
      <c r="G14" s="12">
        <f>AVERAGE(Клещенко!I14:L14)</f>
        <v>0.59296891095080939</v>
      </c>
      <c r="H14" s="96"/>
      <c r="J14" s="12">
        <f>AVERAGE(Мамонтов!I14:L14)</f>
        <v>0.53795804478363829</v>
      </c>
      <c r="K14" s="96"/>
      <c r="M14" s="12">
        <f>AVERAGE(Полянский!I14:L14)</f>
        <v>0.20923829796839766</v>
      </c>
      <c r="N14" s="12">
        <f>AVERAGE(Старокадомский!I14:L14)</f>
        <v>0.96401196871409578</v>
      </c>
      <c r="P14" s="12">
        <f>AVERAGE(Чугунов!I14:L14)</f>
        <v>0.92598333794190646</v>
      </c>
      <c r="Q14" s="12">
        <f>AVERAGE(Якименко!I14:L14)</f>
        <v>1.0003942432981447</v>
      </c>
    </row>
    <row r="15" spans="1:18" s="12" customFormat="1" x14ac:dyDescent="0.25">
      <c r="A15" s="13" t="s">
        <v>56</v>
      </c>
      <c r="B15" s="6" t="s">
        <v>57</v>
      </c>
      <c r="C15">
        <f t="shared" si="1"/>
        <v>-0.36011393468326297</v>
      </c>
      <c r="D15" s="12">
        <f>AVERAGE(Башмакова!I15:L15)</f>
        <v>-0.101654750369092</v>
      </c>
      <c r="E15" s="96"/>
      <c r="F15" s="12">
        <f>AVERAGE(Зимина!I15:L15)</f>
        <v>-0.40583615498512615</v>
      </c>
      <c r="G15" s="12">
        <f>AVERAGE(Клещенко!I15:L15)</f>
        <v>6.241778010008503E-2</v>
      </c>
      <c r="H15" s="96"/>
      <c r="J15" s="12">
        <f>AVERAGE(Мамонтов!I15:L15)</f>
        <v>-0.47818492869656654</v>
      </c>
      <c r="K15" s="96"/>
      <c r="M15" s="12">
        <f>AVERAGE(Полянский!I15:L15)</f>
        <v>0.20923829796839766</v>
      </c>
      <c r="N15" s="12">
        <f>AVERAGE(Старокадомский!I15:L15)</f>
        <v>-0.49271722845387045</v>
      </c>
      <c r="P15" s="12">
        <f>AVERAGE(Чугунов!I15:L15)</f>
        <v>-0.87650331225035316</v>
      </c>
      <c r="Q15" s="12">
        <f>AVERAGE(Якименко!I15:L15)</f>
        <v>-0.7976711807795781</v>
      </c>
    </row>
    <row r="16" spans="1:18" x14ac:dyDescent="0.25">
      <c r="A16" s="13" t="s">
        <v>60</v>
      </c>
      <c r="B16" s="6" t="s">
        <v>61</v>
      </c>
      <c r="C16">
        <f t="shared" si="1"/>
        <v>0.35329744702153731</v>
      </c>
      <c r="D16" s="12">
        <f>AVERAGE(Башмакова!I16:L16)</f>
        <v>-2.4275761282171168E-2</v>
      </c>
      <c r="E16" s="97"/>
      <c r="F16" s="12">
        <f>AVERAGE(Зимина!I16:L16)</f>
        <v>-3.6235370980814752E-2</v>
      </c>
      <c r="G16" s="12">
        <f>AVERAGE(Клещенко!I16:L16)</f>
        <v>0.59296891095080939</v>
      </c>
      <c r="H16" s="97"/>
      <c r="J16" s="12">
        <f>AVERAGE(Мамонтов!I16:L16)</f>
        <v>0.53795804478363829</v>
      </c>
      <c r="K16" s="97"/>
      <c r="M16" s="12">
        <f>AVERAGE(Полянский!I16:L16)</f>
        <v>-0.23539308521444885</v>
      </c>
      <c r="N16" s="12">
        <f>AVERAGE(Старокадомский!I16:L16)</f>
        <v>0.96401196871409578</v>
      </c>
      <c r="P16" s="12">
        <f>AVERAGE(Чугунов!I16:L16)</f>
        <v>0.92598333794190646</v>
      </c>
      <c r="Q16" s="12">
        <f>AVERAGE(Якименко!I16:L16)</f>
        <v>0.10136153125928346</v>
      </c>
    </row>
    <row r="17" spans="1:17" s="12" customFormat="1" x14ac:dyDescent="0.25">
      <c r="A17" s="13" t="s">
        <v>70</v>
      </c>
      <c r="B17" s="6" t="s">
        <v>71</v>
      </c>
      <c r="C17">
        <f t="shared" si="1"/>
        <v>0.18535297384797489</v>
      </c>
      <c r="D17" s="12">
        <f>AVERAGE(Башмакова!I17:L17)</f>
        <v>-0.10165475036909202</v>
      </c>
      <c r="E17" s="96"/>
      <c r="F17" s="12">
        <f>AVERAGE(Зимина!I17:L17)</f>
        <v>0.70296619702780794</v>
      </c>
      <c r="G17" s="12">
        <f>AVERAGE(Клещенко!I17:L17)</f>
        <v>6.241778010008503E-2</v>
      </c>
      <c r="H17" s="96"/>
      <c r="J17" s="12">
        <f>AVERAGE(Мамонтов!I17:L17)</f>
        <v>0.87667236927703995</v>
      </c>
      <c r="K17" s="96"/>
      <c r="M17" s="12">
        <f>AVERAGE(Полянский!I17:L17)</f>
        <v>-0.23539308521444885</v>
      </c>
      <c r="N17" s="12">
        <f>AVERAGE(Старокадомский!I17:L17)</f>
        <v>-0.12853492916187889</v>
      </c>
      <c r="P17" s="12">
        <f>AVERAGE(Чугунов!I17:L17)</f>
        <v>0.20498867786500263</v>
      </c>
      <c r="Q17" s="12">
        <f>AVERAGE(Якименко!I17:L17)</f>
        <v>0.10136153125928341</v>
      </c>
    </row>
    <row r="18" spans="1:17" s="12" customFormat="1" x14ac:dyDescent="0.25">
      <c r="A18" s="13" t="s">
        <v>78</v>
      </c>
      <c r="B18" s="6" t="s">
        <v>53</v>
      </c>
      <c r="C18">
        <f t="shared" si="1"/>
        <v>0.36057949284896351</v>
      </c>
      <c r="D18" s="12">
        <f>AVERAGE(Башмакова!I18:L18)</f>
        <v>-2.4275761282171168E-2</v>
      </c>
      <c r="E18" s="96"/>
      <c r="F18" s="12">
        <f>AVERAGE(Зимина!I18:L18)</f>
        <v>0.70296619702780794</v>
      </c>
      <c r="G18" s="12">
        <f>AVERAGE(Клещенко!I18:L18)</f>
        <v>6.241778010008503E-2</v>
      </c>
      <c r="H18" s="96"/>
      <c r="J18" s="12">
        <f>AVERAGE(Мамонтов!I18:L18)</f>
        <v>0.53795804478363829</v>
      </c>
      <c r="K18" s="96"/>
      <c r="M18" s="12">
        <f>AVERAGE(Полянский!I18:L18)</f>
        <v>1.0985010643340907</v>
      </c>
      <c r="N18" s="12">
        <f>AVERAGE(Старокадомский!I18:L18)</f>
        <v>0.96401196871409578</v>
      </c>
      <c r="P18" s="12">
        <f>AVERAGE(Чугунов!I18:L18)</f>
        <v>0.56548600790345449</v>
      </c>
      <c r="Q18" s="12">
        <f>AVERAGE(Якименко!I18:L18)</f>
        <v>-1.0224293587892934</v>
      </c>
    </row>
    <row r="19" spans="1:17" s="12" customFormat="1" x14ac:dyDescent="0.25">
      <c r="A19" s="13" t="s">
        <v>79</v>
      </c>
      <c r="B19" s="6" t="s">
        <v>80</v>
      </c>
      <c r="C19">
        <f t="shared" si="1"/>
        <v>-0.30529718967217373</v>
      </c>
      <c r="D19" s="12">
        <f>AVERAGE(Башмакова!I19:L19)</f>
        <v>-0.25641272854293373</v>
      </c>
      <c r="E19" s="96"/>
      <c r="F19" s="12">
        <f>AVERAGE(Зимина!I19:L19)</f>
        <v>-0.77543693898943744</v>
      </c>
      <c r="G19" s="12">
        <f>AVERAGE(Клещенко!I19:L19)</f>
        <v>6.241778010008503E-2</v>
      </c>
      <c r="H19" s="96"/>
      <c r="J19" s="12">
        <f>AVERAGE(Мамонтов!I19:L19)</f>
        <v>-0.47818492869656648</v>
      </c>
      <c r="K19" s="96"/>
      <c r="M19" s="12">
        <f>AVERAGE(Полянский!I19:L19)</f>
        <v>-0.68002446839729536</v>
      </c>
      <c r="N19" s="12">
        <f>AVERAGE(Старокадомский!I19:L19)</f>
        <v>0.23564737013011269</v>
      </c>
      <c r="P19" s="12">
        <f>AVERAGE(Чугунов!I19:L19)</f>
        <v>-0.87650331225035316</v>
      </c>
      <c r="Q19" s="12">
        <f>AVERAGE(Якименко!I19:L19)</f>
        <v>0.3261197092689988</v>
      </c>
    </row>
    <row r="20" spans="1:17" s="12" customFormat="1" x14ac:dyDescent="0.25">
      <c r="A20" s="13" t="s">
        <v>81</v>
      </c>
      <c r="B20" s="6" t="s">
        <v>82</v>
      </c>
      <c r="C20">
        <f t="shared" si="1"/>
        <v>0.44725413741104569</v>
      </c>
      <c r="D20" s="12">
        <f>AVERAGE(Башмакова!I20:L20)</f>
        <v>5.3103227804749693E-2</v>
      </c>
      <c r="E20" s="96"/>
      <c r="F20" s="12">
        <f>AVERAGE(Зимина!I20:L20)</f>
        <v>-3.6235370980814752E-2</v>
      </c>
      <c r="G20" s="12">
        <f>AVERAGE(Клещенко!I20:L20)</f>
        <v>0.59296891095080939</v>
      </c>
      <c r="H20" s="96"/>
      <c r="J20" s="12">
        <f>AVERAGE(Мамонтов!I20:L20)</f>
        <v>0.53795804478363829</v>
      </c>
      <c r="K20" s="96"/>
      <c r="M20" s="12">
        <f>AVERAGE(Полянский!I20:L20)</f>
        <v>-0.23539308521444885</v>
      </c>
      <c r="N20" s="12">
        <f>AVERAGE(Старокадомский!I20:L20)</f>
        <v>0.96401196871409578</v>
      </c>
      <c r="P20" s="12">
        <f>AVERAGE(Чугунов!I20:L20)</f>
        <v>0.92598333794190646</v>
      </c>
      <c r="Q20" s="12">
        <f>AVERAGE(Якименко!I20:L20)</f>
        <v>0.77563606528842954</v>
      </c>
    </row>
    <row r="21" spans="1:17" s="12" customFormat="1" x14ac:dyDescent="0.25">
      <c r="A21" s="13" t="s">
        <v>85</v>
      </c>
      <c r="B21" s="6" t="s">
        <v>86</v>
      </c>
      <c r="C21">
        <f t="shared" si="1"/>
        <v>-1.3775580125536799E-2</v>
      </c>
      <c r="D21" s="12">
        <f>AVERAGE(Башмакова!I21:L21)</f>
        <v>-0.10165475036909202</v>
      </c>
      <c r="E21" s="96"/>
      <c r="F21" s="12">
        <f>AVERAGE(Зимина!I21:L21)</f>
        <v>-0.77543693898943744</v>
      </c>
      <c r="G21" s="12">
        <f>AVERAGE(Клещенко!I21:L21)</f>
        <v>6.241778010008503E-2</v>
      </c>
      <c r="H21" s="96"/>
      <c r="J21" s="12">
        <f>AVERAGE(Мамонтов!I21:L21)</f>
        <v>-0.13947060420316482</v>
      </c>
      <c r="K21" s="96"/>
      <c r="M21" s="12">
        <f>AVERAGE(Полянский!I21:L21)</f>
        <v>0.20923829796839766</v>
      </c>
      <c r="N21" s="12">
        <f>AVERAGE(Старокадомский!I21:L21)</f>
        <v>0.59982966942210425</v>
      </c>
      <c r="P21" s="12">
        <f>AVERAGE(Чугунов!I21:L21)</f>
        <v>-0.51600598221190119</v>
      </c>
      <c r="Q21" s="12">
        <f>AVERAGE(Якименко!I21:L21)</f>
        <v>0.55087788727871412</v>
      </c>
    </row>
    <row r="22" spans="1:17" s="12" customFormat="1" x14ac:dyDescent="0.25">
      <c r="A22" s="13" t="s">
        <v>97</v>
      </c>
      <c r="B22" s="6" t="s">
        <v>98</v>
      </c>
      <c r="C22">
        <f t="shared" si="1"/>
        <v>-0.18917375763824107</v>
      </c>
      <c r="D22" s="12">
        <f>AVERAGE(Башмакова!I22:L22)</f>
        <v>-2.4275761282171161E-2</v>
      </c>
      <c r="E22" s="96"/>
      <c r="F22" s="12">
        <f>AVERAGE(Зимина!I22:L22)</f>
        <v>0.33336541302349659</v>
      </c>
      <c r="G22" s="12">
        <f>AVERAGE(Клещенко!I22:L22)</f>
        <v>-0.46813335075063933</v>
      </c>
      <c r="H22" s="96"/>
      <c r="J22" s="12">
        <f>AVERAGE(Мамонтов!I22:L22)</f>
        <v>-0.47818492869656648</v>
      </c>
      <c r="K22" s="96"/>
      <c r="M22" s="12">
        <f>AVERAGE(Полянский!I22:L22)</f>
        <v>0.20923829796839766</v>
      </c>
      <c r="N22" s="12">
        <f>AVERAGE(Старокадомский!I22:L22)</f>
        <v>-0.49271722845387045</v>
      </c>
      <c r="P22" s="12">
        <f>AVERAGE(Чугунов!I22:L22)</f>
        <v>0.20498867786500261</v>
      </c>
      <c r="Q22" s="12">
        <f>AVERAGE(Якименко!I22:L22)</f>
        <v>-0.7976711807795781</v>
      </c>
    </row>
    <row r="23" spans="1:17" s="12" customFormat="1" x14ac:dyDescent="0.25">
      <c r="A23" s="13" t="s">
        <v>101</v>
      </c>
      <c r="B23" s="6" t="s">
        <v>102</v>
      </c>
      <c r="C23">
        <f t="shared" si="1"/>
        <v>0.47346389459322508</v>
      </c>
      <c r="D23" s="12">
        <f>AVERAGE(Башмакова!I23:L23)</f>
        <v>-2.4275761282171168E-2</v>
      </c>
      <c r="E23" s="96"/>
      <c r="F23" s="12">
        <f>AVERAGE(Зимина!I23:L23)</f>
        <v>0.33336541302349659</v>
      </c>
      <c r="G23" s="12">
        <f>AVERAGE(Клещенко!I23:L23)</f>
        <v>6.241778010008503E-2</v>
      </c>
      <c r="H23" s="96"/>
      <c r="J23" s="12">
        <f>AVERAGE(Мамонтов!I23:L23)</f>
        <v>0.87667236927703995</v>
      </c>
      <c r="K23" s="96"/>
      <c r="M23" s="12">
        <f>AVERAGE(Полянский!I23:L23)</f>
        <v>1.0985010643340907</v>
      </c>
      <c r="N23" s="12">
        <f>AVERAGE(Старокадомский!I23:L23)</f>
        <v>0.23564737013011267</v>
      </c>
      <c r="P23" s="12">
        <f>AVERAGE(Чугунов!I23:L23)</f>
        <v>0.20498867786500261</v>
      </c>
      <c r="Q23" s="12">
        <f>AVERAGE(Якименко!I23:L23)</f>
        <v>1.0003942432981447</v>
      </c>
    </row>
    <row r="24" spans="1:17" s="12" customFormat="1" x14ac:dyDescent="0.25">
      <c r="A24" s="13" t="s">
        <v>107</v>
      </c>
      <c r="B24" s="6" t="s">
        <v>108</v>
      </c>
      <c r="C24">
        <f t="shared" si="1"/>
        <v>-0.14596578579639072</v>
      </c>
      <c r="D24" s="12">
        <f>AVERAGE(Башмакова!I24:L24)</f>
        <v>-2.4275761282171168E-2</v>
      </c>
      <c r="E24" s="96"/>
      <c r="F24" s="12">
        <f>AVERAGE(Зимина!I24:L24)</f>
        <v>-0.77543693898943755</v>
      </c>
      <c r="G24" s="12">
        <f>AVERAGE(Клещенко!I24:L24)</f>
        <v>-0.46813335075063933</v>
      </c>
      <c r="H24" s="96"/>
      <c r="J24" s="12">
        <f>AVERAGE(Мамонтов!I24:L24)</f>
        <v>-0.81689925318996803</v>
      </c>
      <c r="K24" s="96"/>
      <c r="M24" s="12">
        <f>AVERAGE(Полянский!I24:L24)</f>
        <v>0.65386968115124411</v>
      </c>
      <c r="N24" s="12">
        <f>AVERAGE(Старокадомский!I24:L24)</f>
        <v>-0.49271722845387045</v>
      </c>
      <c r="P24" s="12">
        <f>AVERAGE(Чугунов!I24:L24)</f>
        <v>0.20498867786500263</v>
      </c>
      <c r="Q24" s="12">
        <f>AVERAGE(Якименко!I24:L24)</f>
        <v>0.55087788727871412</v>
      </c>
    </row>
    <row r="25" spans="1:17" s="12" customFormat="1" x14ac:dyDescent="0.25">
      <c r="A25" s="13" t="s">
        <v>109</v>
      </c>
      <c r="B25" s="6" t="s">
        <v>110</v>
      </c>
      <c r="C25">
        <f t="shared" si="1"/>
        <v>-0.10785651027368071</v>
      </c>
      <c r="D25" s="12">
        <f>AVERAGE(Башмакова!I25:L25)</f>
        <v>5.3103227804749693E-2</v>
      </c>
      <c r="E25" s="96"/>
      <c r="F25" s="12">
        <f>AVERAGE(Зимина!I25:L25)</f>
        <v>0.33336541302349659</v>
      </c>
      <c r="G25" s="12">
        <f>AVERAGE(Клещенко!I25:L25)</f>
        <v>6.241778010008503E-2</v>
      </c>
      <c r="H25" s="96"/>
      <c r="J25" s="12">
        <f>AVERAGE(Мамонтов!I25:L25)</f>
        <v>-0.81689925318996803</v>
      </c>
      <c r="K25" s="96"/>
      <c r="M25" s="12">
        <f>AVERAGE(Полянский!I25:L25)</f>
        <v>-0.68002446839729536</v>
      </c>
      <c r="N25" s="12">
        <f>AVERAGE(Старокадомский!I25:L25)</f>
        <v>0.59982966942210425</v>
      </c>
      <c r="P25" s="12">
        <f>AVERAGE(Чугунов!I25:L25)</f>
        <v>-0.51600598221190119</v>
      </c>
      <c r="Q25" s="12">
        <f>AVERAGE(Якименко!I25:L25)</f>
        <v>0.10136153125928343</v>
      </c>
    </row>
    <row r="26" spans="1:17" s="12" customFormat="1" x14ac:dyDescent="0.25">
      <c r="A26" s="13" t="s">
        <v>111</v>
      </c>
      <c r="B26" s="6" t="s">
        <v>112</v>
      </c>
      <c r="C26">
        <f t="shared" si="1"/>
        <v>0.64436154184729233</v>
      </c>
      <c r="D26" s="12">
        <f>AVERAGE(Башмакова!I26:L26)</f>
        <v>5.3103227804749693E-2</v>
      </c>
      <c r="E26" s="96"/>
      <c r="F26" s="12">
        <f>AVERAGE(Зимина!I26:L26)</f>
        <v>0.70296619702780794</v>
      </c>
      <c r="G26" s="12">
        <f>AVERAGE(Клещенко!I26:L26)</f>
        <v>0.59296891095080939</v>
      </c>
      <c r="H26" s="96"/>
      <c r="J26" s="12">
        <f>AVERAGE(Мамонтов!I26:L26)</f>
        <v>0.53795804478363829</v>
      </c>
      <c r="K26" s="96"/>
      <c r="M26" s="12">
        <f>AVERAGE(Полянский!I26:L26)</f>
        <v>1.0985010643340907</v>
      </c>
      <c r="N26" s="12">
        <f>AVERAGE(Старокадомский!I26:L26)</f>
        <v>0.96401196871409578</v>
      </c>
      <c r="P26" s="12">
        <f>AVERAGE(Чугунов!I26:L26)</f>
        <v>0.20498867786500263</v>
      </c>
      <c r="Q26" s="12">
        <f>AVERAGE(Якименко!I26:L26)</f>
        <v>1.0003942432981447</v>
      </c>
    </row>
    <row r="27" spans="1:17" s="12" customFormat="1" x14ac:dyDescent="0.25">
      <c r="A27" s="13" t="s">
        <v>121</v>
      </c>
      <c r="B27" s="6" t="s">
        <v>122</v>
      </c>
      <c r="C27">
        <f t="shared" si="1"/>
        <v>0.11716724638716956</v>
      </c>
      <c r="D27" s="12">
        <f>AVERAGE(Башмакова!I27:L27)</f>
        <v>5.3103227804749693E-2</v>
      </c>
      <c r="E27" s="96"/>
      <c r="F27" s="12">
        <f>AVERAGE(Зимина!I27:L27)</f>
        <v>-3.6235370980814752E-2</v>
      </c>
      <c r="G27" s="12">
        <f>AVERAGE(Клещенко!I27:L27)</f>
        <v>0.59296891095080939</v>
      </c>
      <c r="H27" s="96"/>
      <c r="J27" s="12">
        <f>AVERAGE(Мамонтов!I27:L27)</f>
        <v>0.53795804478363829</v>
      </c>
      <c r="K27" s="96"/>
      <c r="M27" s="12">
        <f>AVERAGE(Полянский!I27:L27)</f>
        <v>0.65386968115124411</v>
      </c>
      <c r="N27" s="12">
        <f>AVERAGE(Старокадомский!I27:L27)</f>
        <v>-0.85689952774586198</v>
      </c>
      <c r="P27" s="12">
        <f>AVERAGE(Чугунов!I27:L27)</f>
        <v>0.56548600790345449</v>
      </c>
      <c r="Q27" s="12">
        <f>AVERAGE(Якименко!I27:L27)</f>
        <v>-0.57291300276986268</v>
      </c>
    </row>
    <row r="28" spans="1:17" s="12" customFormat="1" x14ac:dyDescent="0.25">
      <c r="A28" s="13" t="s">
        <v>123</v>
      </c>
      <c r="B28" s="6" t="s">
        <v>124</v>
      </c>
      <c r="C28">
        <f t="shared" si="1"/>
        <v>-0.29628754304603078</v>
      </c>
      <c r="D28" s="12">
        <f>AVERAGE(Башмакова!I28:L28)</f>
        <v>-0.3337917176298546</v>
      </c>
      <c r="E28" s="96"/>
      <c r="F28" s="12">
        <f>AVERAGE(Зимина!I28:L28)</f>
        <v>0.33336541302349659</v>
      </c>
      <c r="G28" s="12">
        <f>AVERAGE(Клещенко!I28:L28)</f>
        <v>-0.46813335075063933</v>
      </c>
      <c r="H28" s="96"/>
      <c r="J28" s="12">
        <f>AVERAGE(Мамонтов!I28:L28)</f>
        <v>0.53795804478363829</v>
      </c>
      <c r="K28" s="96"/>
      <c r="M28" s="12">
        <f>AVERAGE(Полянский!I28:L28)</f>
        <v>-0.68002446839729536</v>
      </c>
      <c r="N28" s="12">
        <f>AVERAGE(Старокадомский!I28:L28)</f>
        <v>-0.49271722845387045</v>
      </c>
      <c r="P28" s="12">
        <f>AVERAGE(Чугунов!I28:L28)</f>
        <v>0.20498867786500261</v>
      </c>
      <c r="Q28" s="12">
        <f>AVERAGE(Якименко!I28:L28)</f>
        <v>-1.471945714808724</v>
      </c>
    </row>
    <row r="29" spans="1:17" s="12" customFormat="1" x14ac:dyDescent="0.25">
      <c r="A29" s="6" t="s">
        <v>134</v>
      </c>
      <c r="B29" s="6" t="s">
        <v>135</v>
      </c>
      <c r="C29">
        <f t="shared" si="1"/>
        <v>-0.42369376981555823</v>
      </c>
      <c r="D29" s="12">
        <f>AVERAGE(Башмакова!I29:L29)</f>
        <v>-0.3337917176298546</v>
      </c>
      <c r="E29" s="96"/>
      <c r="F29" s="12">
        <f>AVERAGE(Зимина!I29:L29)</f>
        <v>-0.40583615498512615</v>
      </c>
      <c r="G29" s="12">
        <f>AVERAGE(Клещенко!I29:L29)</f>
        <v>-0.46813335075063933</v>
      </c>
      <c r="H29" s="96"/>
      <c r="J29" s="12">
        <f>AVERAGE(Мамонтов!I29:L29)</f>
        <v>0.53795804478363829</v>
      </c>
      <c r="K29" s="96"/>
      <c r="M29" s="12">
        <f>AVERAGE(Полянский!I29:L29)</f>
        <v>-0.23539308521444885</v>
      </c>
      <c r="N29" s="12">
        <f>AVERAGE(Старокадомский!I29:L29)</f>
        <v>-0.85689952774586198</v>
      </c>
      <c r="P29" s="12">
        <f>AVERAGE(Чугунов!I29:L29)</f>
        <v>-0.15550865217344934</v>
      </c>
      <c r="Q29" s="12">
        <f>AVERAGE(Якименко!I29:L29)</f>
        <v>-1.471945714808724</v>
      </c>
    </row>
    <row r="30" spans="1:17" s="12" customFormat="1" x14ac:dyDescent="0.25">
      <c r="A30" s="6" t="s">
        <v>145</v>
      </c>
      <c r="B30" s="6" t="s">
        <v>146</v>
      </c>
      <c r="C30">
        <f t="shared" si="1"/>
        <v>-0.86819470267861698</v>
      </c>
      <c r="D30" s="12">
        <f>AVERAGE(Башмакова!I30:L30)</f>
        <v>-2.4275761282171161E-2</v>
      </c>
      <c r="E30" s="96"/>
      <c r="F30" s="12">
        <f>AVERAGE(Зимина!I30:L30)</f>
        <v>-1.1450377229937487</v>
      </c>
      <c r="G30" s="12">
        <f>AVERAGE(Клещенко!I30:L30)</f>
        <v>-0.46813335075063933</v>
      </c>
      <c r="H30" s="96"/>
      <c r="J30" s="12">
        <f>AVERAGE(Мамонтов!I30:L30)</f>
        <v>-0.47818492869656648</v>
      </c>
      <c r="K30" s="96"/>
      <c r="M30" s="12">
        <f>AVERAGE(Полянский!I30:L30)</f>
        <v>-1.1246558515801417</v>
      </c>
      <c r="N30" s="12">
        <f>AVERAGE(Старокадомский!I30:L30)</f>
        <v>-1.2210818270378536</v>
      </c>
      <c r="P30" s="12">
        <f>AVERAGE(Чугунов!I30:L30)</f>
        <v>-1.2370006422888051</v>
      </c>
      <c r="Q30" s="12">
        <f>AVERAGE(Якименко!I30:L30)</f>
        <v>-1.2471875367990086</v>
      </c>
    </row>
    <row r="31" spans="1:17" s="12" customFormat="1" x14ac:dyDescent="0.25">
      <c r="A31" s="6" t="s">
        <v>153</v>
      </c>
      <c r="B31" s="6" t="s">
        <v>154</v>
      </c>
      <c r="C31">
        <f t="shared" si="1"/>
        <v>0.32924679808338442</v>
      </c>
      <c r="D31" s="12">
        <f>AVERAGE(Башмакова!I31:L31)</f>
        <v>3.5351577367161879</v>
      </c>
      <c r="E31" s="96"/>
      <c r="F31" s="12">
        <f>AVERAGE(Зимина!I31:L31)</f>
        <v>-3.6235370980814752E-2</v>
      </c>
      <c r="G31" s="12">
        <f>AVERAGE(Клещенко!I31:L31)</f>
        <v>6.241778010008503E-2</v>
      </c>
      <c r="H31" s="96"/>
      <c r="J31" s="12">
        <f>AVERAGE(Мамонтов!I31:L31)</f>
        <v>0.87667236927703995</v>
      </c>
      <c r="K31" s="96"/>
      <c r="M31" s="12">
        <f>AVERAGE(Полянский!I31:L31)</f>
        <v>-0.68002446839729536</v>
      </c>
      <c r="N31" s="12">
        <f>AVERAGE(Старокадомский!I31:L31)</f>
        <v>-0.12853492916187889</v>
      </c>
      <c r="P31" s="12">
        <f>AVERAGE(Чугунов!I31:L31)</f>
        <v>0.92598333794190646</v>
      </c>
      <c r="Q31" s="12">
        <f>AVERAGE(Якименко!I31:L31)</f>
        <v>-1.9214620708281549</v>
      </c>
    </row>
    <row r="32" spans="1:17" s="12" customFormat="1" x14ac:dyDescent="0.25">
      <c r="A32" s="6" t="s">
        <v>163</v>
      </c>
      <c r="B32" s="6" t="s">
        <v>162</v>
      </c>
      <c r="C32">
        <f t="shared" si="1"/>
        <v>-0.26314790708532376</v>
      </c>
      <c r="D32" s="12">
        <f>AVERAGE(Башмакова!I32:L32)</f>
        <v>-2.4275761282171168E-2</v>
      </c>
      <c r="E32" s="96"/>
      <c r="F32" s="12">
        <f>AVERAGE(Зимина!I32:L32)</f>
        <v>-0.4058361549851261</v>
      </c>
      <c r="G32" s="12">
        <f>AVERAGE(Клещенко!I32:L32)</f>
        <v>-0.99868448160136369</v>
      </c>
      <c r="H32" s="96"/>
      <c r="J32" s="12">
        <f>AVERAGE(Мамонтов!I32:L32)</f>
        <v>-0.47818492869656648</v>
      </c>
      <c r="K32" s="96"/>
      <c r="M32" s="12">
        <f>AVERAGE(Полянский!I32:L32)</f>
        <v>0.20923829796839766</v>
      </c>
      <c r="N32" s="12">
        <f>AVERAGE(Старокадомский!I32:L32)</f>
        <v>-0.12853492916187889</v>
      </c>
      <c r="P32" s="12">
        <f>AVERAGE(Чугунов!I32:L32)</f>
        <v>-0.15550865217344934</v>
      </c>
      <c r="Q32" s="12">
        <f>AVERAGE(Якименко!I32:L32)</f>
        <v>-0.12339664675043191</v>
      </c>
    </row>
    <row r="33" spans="1:17" s="12" customFormat="1" x14ac:dyDescent="0.25">
      <c r="A33" s="6" t="s">
        <v>166</v>
      </c>
      <c r="B33" s="6" t="s">
        <v>167</v>
      </c>
      <c r="C33">
        <f t="shared" si="1"/>
        <v>0.36374155713719264</v>
      </c>
      <c r="D33" s="12">
        <f>AVERAGE(Башмакова!I33:L33)</f>
        <v>5.3103227804749693E-2</v>
      </c>
      <c r="E33" s="96"/>
      <c r="F33" s="12">
        <f>AVERAGE(Зимина!I33:L33)</f>
        <v>0.70296619702780794</v>
      </c>
      <c r="G33" s="12">
        <f>AVERAGE(Клещенко!I33:L33)</f>
        <v>0.59296891095080939</v>
      </c>
      <c r="H33" s="96"/>
      <c r="J33" s="12">
        <f>AVERAGE(Мамонтов!I33:L33)</f>
        <v>0.19924372029023674</v>
      </c>
      <c r="K33" s="96"/>
      <c r="M33" s="12">
        <f>AVERAGE(Полянский!I33:L33)</f>
        <v>1.0985010643340907</v>
      </c>
      <c r="N33" s="12">
        <f>AVERAGE(Старокадомский!I33:L33)</f>
        <v>-0.49271722845387045</v>
      </c>
      <c r="P33" s="12">
        <f>AVERAGE(Чугунов!I33:L33)</f>
        <v>0.20498867786500261</v>
      </c>
      <c r="Q33" s="12">
        <f>AVERAGE(Якименко!I33:L33)</f>
        <v>0.55087788727871423</v>
      </c>
    </row>
    <row r="34" spans="1:17" s="12" customFormat="1" x14ac:dyDescent="0.25">
      <c r="A34" s="6" t="s">
        <v>164</v>
      </c>
      <c r="B34" s="6" t="s">
        <v>165</v>
      </c>
      <c r="C34">
        <f t="shared" si="1"/>
        <v>0.41096017444898308</v>
      </c>
      <c r="D34" s="12">
        <f>AVERAGE(Башмакова!I34:L34)</f>
        <v>5.3103227804749693E-2</v>
      </c>
      <c r="E34" s="96"/>
      <c r="F34" s="12">
        <f>AVERAGE(Зимина!I34:L34)</f>
        <v>-0.4058361549851261</v>
      </c>
      <c r="G34" s="12">
        <f>AVERAGE(Клещенко!I34:L34)</f>
        <v>0.59296891095080939</v>
      </c>
      <c r="H34" s="96"/>
      <c r="J34" s="12">
        <f>AVERAGE(Мамонтов!I34:L34)</f>
        <v>0.53795804478363829</v>
      </c>
      <c r="K34" s="96"/>
      <c r="M34" s="12">
        <f>AVERAGE(Полянский!I34:L34)</f>
        <v>0.65386968115124411</v>
      </c>
      <c r="N34" s="12">
        <f>AVERAGE(Старокадомский!I34:L34)</f>
        <v>0.96401196871409578</v>
      </c>
      <c r="P34" s="12">
        <f>AVERAGE(Чугунов!I34:L34)</f>
        <v>0.56548600790345449</v>
      </c>
      <c r="Q34" s="12">
        <f>AVERAGE(Якименко!I34:L34)</f>
        <v>0.3261197092689988</v>
      </c>
    </row>
    <row r="35" spans="1:17" s="12" customFormat="1" x14ac:dyDescent="0.25">
      <c r="B35" s="7"/>
      <c r="C35"/>
      <c r="D35" s="12">
        <f>AVERAGE(Башмакова!I35:L35)</f>
        <v>-1.4944765539336673</v>
      </c>
      <c r="E35" s="96"/>
      <c r="H35" s="96"/>
      <c r="K35" s="96"/>
    </row>
    <row r="36" spans="1:17" s="12" customFormat="1" x14ac:dyDescent="0.25">
      <c r="A36" s="1" t="s">
        <v>1</v>
      </c>
      <c r="B36" s="7"/>
      <c r="C36"/>
      <c r="D36" s="12">
        <f>AVERAGE(Башмакова!I36:L36)</f>
        <v>-1.4944765539336673</v>
      </c>
      <c r="E36" s="96"/>
      <c r="H36" s="96"/>
      <c r="K36" s="96"/>
    </row>
    <row r="37" spans="1:17" s="12" customFormat="1" x14ac:dyDescent="0.25">
      <c r="A37" s="13" t="s">
        <v>23</v>
      </c>
      <c r="B37" s="6" t="s">
        <v>24</v>
      </c>
      <c r="C37">
        <f t="shared" si="1"/>
        <v>0.20562299128848849</v>
      </c>
      <c r="D37" s="12">
        <f>AVERAGE(Башмакова!I37:L37)</f>
        <v>5.3103227804749693E-2</v>
      </c>
      <c r="E37" s="96"/>
      <c r="F37" s="12">
        <f>AVERAGE(Зимина!I37:L37)</f>
        <v>0.33336541302349659</v>
      </c>
      <c r="G37" s="12">
        <f>AVERAGE(Клещенко!I37:L37)</f>
        <v>0.59296891095080939</v>
      </c>
      <c r="H37" s="96"/>
      <c r="J37" s="12">
        <f>AVERAGE(Мамонтов!I37:L37)</f>
        <v>0.19924372029023674</v>
      </c>
      <c r="K37" s="96"/>
      <c r="M37" s="12">
        <f>AVERAGE(Полянский!I37:L37)</f>
        <v>1.0985010643340907</v>
      </c>
      <c r="N37" s="12">
        <f>AVERAGE(Старокадомский!I37:L37)</f>
        <v>-0.12853492916187889</v>
      </c>
      <c r="P37" s="12">
        <f>AVERAGE(Чугунов!I37:L37)</f>
        <v>-0.15550865217344931</v>
      </c>
      <c r="Q37" s="12">
        <f>AVERAGE(Якименко!I37:L37)</f>
        <v>-0.34815482476014731</v>
      </c>
    </row>
    <row r="38" spans="1:17" s="12" customFormat="1" x14ac:dyDescent="0.25">
      <c r="A38" s="13" t="s">
        <v>25</v>
      </c>
      <c r="B38" s="6" t="s">
        <v>26</v>
      </c>
      <c r="C38">
        <f t="shared" si="1"/>
        <v>2.6218591982611353E-2</v>
      </c>
      <c r="D38" s="12">
        <f>AVERAGE(Башмакова!I38:L38)</f>
        <v>5.3103227804749693E-2</v>
      </c>
      <c r="E38" s="96"/>
      <c r="F38" s="12">
        <f>AVERAGE(Зимина!I38:L38)</f>
        <v>0.33336541302349665</v>
      </c>
      <c r="G38" s="12">
        <f>AVERAGE(Клещенко!I38:L38)</f>
        <v>0.59296891095080939</v>
      </c>
      <c r="H38" s="96"/>
      <c r="J38" s="12">
        <f>AVERAGE(Мамонтов!I38:L38)</f>
        <v>0.87667236927703995</v>
      </c>
      <c r="K38" s="96"/>
      <c r="M38" s="12">
        <f>AVERAGE(Полянский!I38:L38)</f>
        <v>-0.23539308521444885</v>
      </c>
      <c r="N38" s="12">
        <f>AVERAGE(Старокадомский!I38:L38)</f>
        <v>-1.2210818270378536</v>
      </c>
      <c r="P38" s="12">
        <f>AVERAGE(Чугунов!I38:L38)</f>
        <v>-0.51600598221190119</v>
      </c>
      <c r="Q38" s="12">
        <f>AVERAGE(Якименко!I38:L38)</f>
        <v>0.3261197092689988</v>
      </c>
    </row>
    <row r="39" spans="1:17" s="12" customFormat="1" x14ac:dyDescent="0.25">
      <c r="A39" s="13" t="s">
        <v>27</v>
      </c>
      <c r="B39" s="6" t="s">
        <v>28</v>
      </c>
      <c r="C39">
        <f t="shared" si="1"/>
        <v>0.24656595823134747</v>
      </c>
      <c r="D39" s="12">
        <f>AVERAGE(Башмакова!I39:L39)</f>
        <v>5.3103227804749693E-2</v>
      </c>
      <c r="E39" s="96"/>
      <c r="F39" s="12">
        <f>AVERAGE(Зимина!I39:L39)</f>
        <v>0.70296619702780794</v>
      </c>
      <c r="G39" s="12">
        <f>AVERAGE(Клещенко!I39:L39)</f>
        <v>0.59296891095080939</v>
      </c>
      <c r="H39" s="96"/>
      <c r="J39" s="12">
        <f>AVERAGE(Мамонтов!I39:L39)</f>
        <v>0.53795804478363829</v>
      </c>
      <c r="K39" s="96"/>
      <c r="M39" s="12">
        <f>AVERAGE(Полянский!I39:L39)</f>
        <v>-0.23539308521444885</v>
      </c>
      <c r="N39" s="12">
        <f>AVERAGE(Старокадомский!I39:L39)</f>
        <v>0.59982966942210425</v>
      </c>
      <c r="P39" s="12">
        <f>AVERAGE(Чугунов!I39:L39)</f>
        <v>-0.15550865217344931</v>
      </c>
      <c r="Q39" s="12">
        <f>AVERAGE(Якименко!I39:L39)</f>
        <v>-0.12339664675043194</v>
      </c>
    </row>
    <row r="40" spans="1:17" s="12" customFormat="1" ht="31.5" x14ac:dyDescent="0.25">
      <c r="A40" s="13" t="s">
        <v>48</v>
      </c>
      <c r="B40" s="6" t="s">
        <v>49</v>
      </c>
      <c r="C40">
        <f t="shared" si="1"/>
        <v>6.8541238097186763E-2</v>
      </c>
      <c r="D40" s="12">
        <f>AVERAGE(Башмакова!I40:L40)</f>
        <v>-0.10165475036909202</v>
      </c>
      <c r="E40" s="96"/>
      <c r="F40" s="12">
        <f>AVERAGE(Зимина!I40:L40)</f>
        <v>0.70296619702780794</v>
      </c>
      <c r="G40" s="12">
        <f>AVERAGE(Клещенко!I40:L40)</f>
        <v>6.241778010008503E-2</v>
      </c>
      <c r="H40" s="96"/>
      <c r="J40" s="12">
        <f>AVERAGE(Мамонтов!I40:L40)</f>
        <v>-0.13947060420316482</v>
      </c>
      <c r="K40" s="96"/>
      <c r="M40" s="12">
        <f>AVERAGE(Полянский!I40:L40)</f>
        <v>-0.23539308521444885</v>
      </c>
      <c r="N40" s="12">
        <f>AVERAGE(Старокадомский!I40:L40)</f>
        <v>-0.85689952774586198</v>
      </c>
      <c r="P40" s="12">
        <f>AVERAGE(Чугунов!I40:L40)</f>
        <v>0.5654860079034546</v>
      </c>
      <c r="Q40" s="12">
        <f>AVERAGE(Якименко!I40:L40)</f>
        <v>0.55087788727871423</v>
      </c>
    </row>
    <row r="41" spans="1:17" s="12" customFormat="1" x14ac:dyDescent="0.25">
      <c r="A41" s="13" t="s">
        <v>76</v>
      </c>
      <c r="B41" s="6" t="s">
        <v>77</v>
      </c>
      <c r="C41">
        <f t="shared" si="1"/>
        <v>-0.76776598925552042</v>
      </c>
      <c r="D41" s="12">
        <f>AVERAGE(Башмакова!I41:L41)</f>
        <v>-0.17903373945601286</v>
      </c>
      <c r="E41" s="96"/>
      <c r="F41" s="12">
        <f>AVERAGE(Зимина!I41:L41)</f>
        <v>0.33336541302349665</v>
      </c>
      <c r="G41" s="12">
        <f>AVERAGE(Клещенко!I41:L41)</f>
        <v>-0.46813335075063933</v>
      </c>
      <c r="H41" s="96"/>
      <c r="J41" s="12">
        <f>AVERAGE(Мамонтов!I41:L41)</f>
        <v>-1.1556135776833696</v>
      </c>
      <c r="K41" s="96"/>
      <c r="M41" s="12">
        <f>AVERAGE(Полянский!I41:L41)</f>
        <v>-0.23539308521444879</v>
      </c>
      <c r="N41" s="12">
        <f>AVERAGE(Старокадомский!I41:L41)</f>
        <v>-2.3136287249138281</v>
      </c>
      <c r="P41" s="12">
        <f>AVERAGE(Чугунов!I41:L41)</f>
        <v>-0.87650331225035316</v>
      </c>
      <c r="Q41" s="12">
        <f>AVERAGE(Якименко!I41:L41)</f>
        <v>-1.2471875367990086</v>
      </c>
    </row>
    <row r="42" spans="1:17" s="12" customFormat="1" x14ac:dyDescent="0.25">
      <c r="A42" s="13" t="s">
        <v>91</v>
      </c>
      <c r="B42" s="6" t="s">
        <v>92</v>
      </c>
      <c r="C42">
        <f t="shared" si="1"/>
        <v>0.23427997539704354</v>
      </c>
      <c r="D42" s="12">
        <f>AVERAGE(Башмакова!I42:L42)</f>
        <v>-0.10165475036909202</v>
      </c>
      <c r="E42" s="96"/>
      <c r="F42" s="12">
        <f>AVERAGE(Зимина!I42:L42)</f>
        <v>0.70296619702780794</v>
      </c>
      <c r="G42" s="12">
        <f>AVERAGE(Клещенко!I42:L42)</f>
        <v>0.59296891095080939</v>
      </c>
      <c r="H42" s="96"/>
      <c r="J42" s="12">
        <f>AVERAGE(Мамонтов!I42:L42)</f>
        <v>-0.13947060420316482</v>
      </c>
      <c r="K42" s="96"/>
      <c r="M42" s="12">
        <f>AVERAGE(Полянский!I42:L42)</f>
        <v>1.0985010643340907</v>
      </c>
      <c r="N42" s="12">
        <f>AVERAGE(Старокадомский!I42:L42)</f>
        <v>-0.85689952774586198</v>
      </c>
      <c r="P42" s="12">
        <f>AVERAGE(Чугунов!I42:L42)</f>
        <v>0.92598333794190646</v>
      </c>
      <c r="Q42" s="12">
        <f>AVERAGE(Якименко!I42:L42)</f>
        <v>-0.34815482476014725</v>
      </c>
    </row>
    <row r="43" spans="1:17" s="12" customFormat="1" x14ac:dyDescent="0.25">
      <c r="A43" s="13" t="s">
        <v>95</v>
      </c>
      <c r="B43" s="6" t="s">
        <v>96</v>
      </c>
      <c r="C43">
        <f t="shared" si="1"/>
        <v>-0.13991739882892784</v>
      </c>
      <c r="D43" s="12">
        <f>AVERAGE(Башмакова!I43:L43)</f>
        <v>5.3103227804749693E-2</v>
      </c>
      <c r="E43" s="96"/>
      <c r="F43" s="12">
        <f>AVERAGE(Зимина!I43:L43)</f>
        <v>-0.4058361549851261</v>
      </c>
      <c r="G43" s="12">
        <f>AVERAGE(Клещенко!I43:L43)</f>
        <v>6.241778010008503E-2</v>
      </c>
      <c r="H43" s="96"/>
      <c r="J43" s="12">
        <f>AVERAGE(Мамонтов!I43:L43)</f>
        <v>-0.13947060420316487</v>
      </c>
      <c r="K43" s="96"/>
      <c r="M43" s="12">
        <f>AVERAGE(Полянский!I43:L43)</f>
        <v>-0.23539308521444885</v>
      </c>
      <c r="N43" s="12">
        <f>AVERAGE(Старокадомский!I43:L43)</f>
        <v>-0.12853492916187889</v>
      </c>
      <c r="P43" s="12">
        <f>AVERAGE(Чугунов!I43:L43)</f>
        <v>-0.87650331225035316</v>
      </c>
      <c r="Q43" s="12">
        <f>AVERAGE(Якименко!I43:L43)</f>
        <v>0.55087788727871423</v>
      </c>
    </row>
    <row r="44" spans="1:17" s="12" customFormat="1" x14ac:dyDescent="0.25">
      <c r="A44" s="13" t="s">
        <v>115</v>
      </c>
      <c r="B44" s="6" t="s">
        <v>116</v>
      </c>
      <c r="C44">
        <f t="shared" si="1"/>
        <v>0.27927822553653969</v>
      </c>
      <c r="D44" s="12">
        <f>AVERAGE(Башмакова!I44:L44)</f>
        <v>5.3103227804749693E-2</v>
      </c>
      <c r="E44" s="96"/>
      <c r="F44" s="12">
        <f>AVERAGE(Зимина!I44:L44)</f>
        <v>-0.40583615498512615</v>
      </c>
      <c r="G44" s="12">
        <f>AVERAGE(Клещенко!I44:L44)</f>
        <v>6.241778010008503E-2</v>
      </c>
      <c r="H44" s="96"/>
      <c r="J44" s="12">
        <f>AVERAGE(Мамонтов!I44:L44)</f>
        <v>0.87667236927703995</v>
      </c>
      <c r="K44" s="96"/>
      <c r="M44" s="12">
        <f>AVERAGE(Полянский!I44:L44)</f>
        <v>1.0985010643340907</v>
      </c>
      <c r="N44" s="12">
        <f>AVERAGE(Старокадомский!I44:L44)</f>
        <v>0.96401196871409578</v>
      </c>
      <c r="P44" s="12">
        <f>AVERAGE(Чугунов!I44:L44)</f>
        <v>-0.51600598221190119</v>
      </c>
      <c r="Q44" s="12">
        <f>AVERAGE(Якименко!I44:L44)</f>
        <v>0.10136153125928338</v>
      </c>
    </row>
    <row r="45" spans="1:17" s="12" customFormat="1" x14ac:dyDescent="0.25">
      <c r="A45" s="13" t="s">
        <v>117</v>
      </c>
      <c r="B45" s="6" t="s">
        <v>118</v>
      </c>
      <c r="C45">
        <f t="shared" si="1"/>
        <v>-0.47745354541537133</v>
      </c>
      <c r="D45" s="12">
        <f>AVERAGE(Башмакова!I45:L45)</f>
        <v>-0.17903373945601286</v>
      </c>
      <c r="E45" s="96"/>
      <c r="F45" s="12">
        <f>AVERAGE(Зимина!I45:L45)</f>
        <v>-1.5146385069980601</v>
      </c>
      <c r="G45" s="12">
        <f>AVERAGE(Клещенко!I45:L45)</f>
        <v>-0.46813335075063933</v>
      </c>
      <c r="H45" s="96"/>
      <c r="J45" s="12">
        <f>AVERAGE(Мамонтов!I45:L45)</f>
        <v>-1.1556135776833696</v>
      </c>
      <c r="K45" s="96"/>
      <c r="M45" s="12">
        <f>AVERAGE(Полянский!I45:L45)</f>
        <v>-0.68002446839729536</v>
      </c>
      <c r="N45" s="12">
        <f>AVERAGE(Старокадомский!I45:L45)</f>
        <v>-0.12853492916187889</v>
      </c>
      <c r="P45" s="12">
        <f>AVERAGE(Чугунов!I45:L45)</f>
        <v>0.20498867786500261</v>
      </c>
      <c r="Q45" s="12">
        <f>AVERAGE(Якименко!I45:L45)</f>
        <v>0.10136153125928341</v>
      </c>
    </row>
    <row r="46" spans="1:17" s="12" customFormat="1" x14ac:dyDescent="0.25">
      <c r="A46" s="6" t="s">
        <v>136</v>
      </c>
      <c r="B46" s="6" t="s">
        <v>137</v>
      </c>
      <c r="C46">
        <f t="shared" si="1"/>
        <v>-0.40892149941590533</v>
      </c>
      <c r="D46" s="12">
        <f>AVERAGE(Башмакова!I46:L46)</f>
        <v>-0.10165475036909202</v>
      </c>
      <c r="E46" s="96"/>
      <c r="F46" s="12">
        <f>AVERAGE(Зимина!I46:L46)</f>
        <v>-0.77543693898943744</v>
      </c>
      <c r="G46" s="12">
        <f>AVERAGE(Клещенко!I46:L46)</f>
        <v>-0.46813335075063933</v>
      </c>
      <c r="H46" s="96"/>
      <c r="J46" s="12">
        <f>AVERAGE(Мамонтов!I46:L46)</f>
        <v>-0.47818492869656648</v>
      </c>
      <c r="K46" s="96"/>
      <c r="M46" s="12">
        <f>AVERAGE(Полянский!I46:L46)</f>
        <v>-0.68002446839729536</v>
      </c>
      <c r="N46" s="12">
        <f>AVERAGE(Старокадомский!I46:L46)</f>
        <v>-0.12853492916187889</v>
      </c>
      <c r="P46" s="12">
        <f>AVERAGE(Чугунов!I46:L46)</f>
        <v>-0.51600598221190119</v>
      </c>
      <c r="Q46" s="12">
        <f>AVERAGE(Якименко!I46:L46)</f>
        <v>-0.12339664675043188</v>
      </c>
    </row>
    <row r="47" spans="1:17" s="12" customFormat="1" x14ac:dyDescent="0.25">
      <c r="A47" s="6"/>
      <c r="B47" s="6"/>
      <c r="C47"/>
      <c r="E47" s="96"/>
      <c r="H47" s="96"/>
      <c r="K47" s="96"/>
    </row>
    <row r="48" spans="1:17" s="12" customFormat="1" x14ac:dyDescent="0.25">
      <c r="A48" s="1" t="s">
        <v>2</v>
      </c>
      <c r="B48" s="7"/>
      <c r="C48"/>
      <c r="E48" s="96"/>
      <c r="H48" s="96"/>
      <c r="K48" s="96"/>
    </row>
    <row r="49" spans="1:17" s="12" customFormat="1" x14ac:dyDescent="0.25">
      <c r="A49" s="13" t="s">
        <v>40</v>
      </c>
      <c r="B49" s="6" t="s">
        <v>41</v>
      </c>
      <c r="C49">
        <f t="shared" si="1"/>
        <v>-7.3123634934058712E-2</v>
      </c>
      <c r="D49" s="12">
        <f>AVERAGE(Башмакова!I49:L49)</f>
        <v>-0.10165475036909202</v>
      </c>
      <c r="E49" s="96"/>
      <c r="F49" s="12">
        <f>AVERAGE(Зимина!I49:L49)</f>
        <v>0.70296619702780794</v>
      </c>
      <c r="G49" s="12">
        <f>AVERAGE(Клещенко!I49:L49)</f>
        <v>6.241778010008503E-2</v>
      </c>
      <c r="H49" s="96"/>
      <c r="J49" s="12">
        <f>AVERAGE(Мамонтов!I49:L49)</f>
        <v>0.19924372029023674</v>
      </c>
      <c r="K49" s="96"/>
      <c r="M49" s="12">
        <f>AVERAGE(Полянский!I49:L49)</f>
        <v>-0.68002446839729536</v>
      </c>
      <c r="N49" s="12">
        <f>AVERAGE(Старокадомский!I49:L49)</f>
        <v>-0.12853492916187889</v>
      </c>
      <c r="P49" s="12">
        <f>AVERAGE(Чугунов!I49:L49)</f>
        <v>-0.51600598221190119</v>
      </c>
      <c r="Q49" s="12">
        <f>AVERAGE(Якименко!I49:L49)</f>
        <v>-0.12339664675043191</v>
      </c>
    </row>
    <row r="50" spans="1:17" s="12" customFormat="1" x14ac:dyDescent="0.25">
      <c r="A50" s="13" t="s">
        <v>64</v>
      </c>
      <c r="B50" s="6" t="s">
        <v>65</v>
      </c>
      <c r="C50">
        <f t="shared" si="1"/>
        <v>-0.40117348661756985</v>
      </c>
      <c r="D50" s="12">
        <f>AVERAGE(Башмакова!I50:L50)</f>
        <v>-0.41117070671677536</v>
      </c>
      <c r="E50" s="96"/>
      <c r="F50" s="12">
        <f>AVERAGE(Зимина!I50:L50)</f>
        <v>-0.4058361549851261</v>
      </c>
      <c r="G50" s="12">
        <f>AVERAGE(Клещенко!I50:L50)</f>
        <v>-0.99868448160136392</v>
      </c>
      <c r="H50" s="96"/>
      <c r="J50" s="12">
        <f>AVERAGE(Мамонтов!I50:L50)</f>
        <v>-0.47818492869656654</v>
      </c>
      <c r="K50" s="96"/>
      <c r="M50" s="12">
        <f>AVERAGE(Полянский!I50:L50)</f>
        <v>0.20923829796839766</v>
      </c>
      <c r="N50" s="12">
        <f>AVERAGE(Старокадомский!I50:L50)</f>
        <v>0.23564737013011267</v>
      </c>
      <c r="P50" s="12">
        <f>AVERAGE(Чугунов!I50:L50)</f>
        <v>-1.2370006422888051</v>
      </c>
      <c r="Q50" s="12">
        <f>AVERAGE(Якименко!I50:L50)</f>
        <v>-0.12339664675043205</v>
      </c>
    </row>
    <row r="51" spans="1:17" s="12" customFormat="1" x14ac:dyDescent="0.25">
      <c r="A51" s="13" t="s">
        <v>99</v>
      </c>
      <c r="B51" s="6" t="s">
        <v>100</v>
      </c>
      <c r="C51">
        <f t="shared" si="1"/>
        <v>0.21890980973507007</v>
      </c>
      <c r="D51" s="12">
        <f>AVERAGE(Башмакова!I51:L51)</f>
        <v>5.3103227804749693E-2</v>
      </c>
      <c r="E51" s="96"/>
      <c r="F51" s="12">
        <f>AVERAGE(Зимина!I51:L51)</f>
        <v>-3.6235370980814779E-2</v>
      </c>
      <c r="G51" s="12">
        <f>AVERAGE(Клещенко!I51:L51)</f>
        <v>0.59296891095080939</v>
      </c>
      <c r="H51" s="96"/>
      <c r="J51" s="12">
        <f>AVERAGE(Мамонтов!I51:L51)</f>
        <v>0.87667236927703995</v>
      </c>
      <c r="K51" s="96"/>
      <c r="M51" s="12">
        <f>AVERAGE(Полянский!I51:L51)</f>
        <v>-0.68002446839729536</v>
      </c>
      <c r="N51" s="12">
        <f>AVERAGE(Старокадомский!I51:L51)</f>
        <v>0.23564737013011269</v>
      </c>
      <c r="P51" s="12">
        <f>AVERAGE(Чугунов!I51:L51)</f>
        <v>-0.51600598221190119</v>
      </c>
      <c r="Q51" s="12">
        <f>AVERAGE(Якименко!I51:L51)</f>
        <v>1.2251524213078602</v>
      </c>
    </row>
    <row r="52" spans="1:17" s="12" customFormat="1" x14ac:dyDescent="0.25">
      <c r="A52" s="13" t="s">
        <v>103</v>
      </c>
      <c r="B52" s="6" t="s">
        <v>104</v>
      </c>
      <c r="C52">
        <f t="shared" si="1"/>
        <v>-0.3573434453565667</v>
      </c>
      <c r="D52" s="12">
        <f>AVERAGE(Башмакова!I52:L52)</f>
        <v>-0.33379171762985455</v>
      </c>
      <c r="E52" s="96"/>
      <c r="F52" s="12">
        <f>AVERAGE(Зимина!I52:L52)</f>
        <v>-0.77543693898943744</v>
      </c>
      <c r="G52" s="12">
        <f>AVERAGE(Клещенко!I52:L52)</f>
        <v>-0.46813335075063933</v>
      </c>
      <c r="H52" s="96"/>
      <c r="J52" s="12">
        <f>AVERAGE(Мамонтов!I52:L52)</f>
        <v>-1.1556135776833696</v>
      </c>
      <c r="K52" s="96"/>
      <c r="M52" s="12">
        <f>AVERAGE(Полянский!I52:L52)</f>
        <v>-1.1246558515801417</v>
      </c>
      <c r="N52" s="12">
        <f>AVERAGE(Старокадомский!I52:L52)</f>
        <v>0.96401196871409578</v>
      </c>
      <c r="P52" s="12">
        <f>AVERAGE(Чугунов!I52:L52)</f>
        <v>-0.51600598221190119</v>
      </c>
      <c r="Q52" s="12">
        <f>AVERAGE(Якименко!I52:L52)</f>
        <v>0.55087788727871412</v>
      </c>
    </row>
    <row r="53" spans="1:17" s="12" customFormat="1" ht="31.5" x14ac:dyDescent="0.25">
      <c r="A53" s="13" t="s">
        <v>113</v>
      </c>
      <c r="B53" s="6" t="s">
        <v>114</v>
      </c>
      <c r="C53">
        <f t="shared" si="1"/>
        <v>-0.21048450741326974</v>
      </c>
      <c r="D53" s="12">
        <f>AVERAGE(Башмакова!I53:L53)</f>
        <v>5.3103227804749693E-2</v>
      </c>
      <c r="E53" s="96"/>
      <c r="F53" s="12">
        <f>AVERAGE(Зимина!I53:L53)</f>
        <v>-0.77543693898943755</v>
      </c>
      <c r="G53" s="12">
        <f>AVERAGE(Клещенко!I53:L53)</f>
        <v>6.241778010008503E-2</v>
      </c>
      <c r="H53" s="96"/>
      <c r="J53" s="12">
        <f>AVERAGE(Мамонтов!I53:L53)</f>
        <v>0.19924372029023674</v>
      </c>
      <c r="K53" s="96"/>
      <c r="M53" s="12">
        <f>AVERAGE(Полянский!I53:L53)</f>
        <v>-0.68002446839729536</v>
      </c>
      <c r="N53" s="12">
        <f>AVERAGE(Старокадомский!I53:L53)</f>
        <v>-0.12853492916187889</v>
      </c>
      <c r="P53" s="12">
        <f>AVERAGE(Чугунов!I53:L53)</f>
        <v>-0.51600598221190119</v>
      </c>
      <c r="Q53" s="12">
        <f>AVERAGE(Якименко!I53:L53)</f>
        <v>0.10136153125928343</v>
      </c>
    </row>
    <row r="54" spans="1:17" s="12" customFormat="1" ht="31.5" x14ac:dyDescent="0.25">
      <c r="A54" s="13" t="s">
        <v>119</v>
      </c>
      <c r="B54" s="6" t="s">
        <v>120</v>
      </c>
      <c r="C54">
        <f t="shared" si="1"/>
        <v>-0.23841164240617915</v>
      </c>
      <c r="D54" s="12">
        <f>AVERAGE(Башмакова!I54:L54)</f>
        <v>5.3103227804749693E-2</v>
      </c>
      <c r="E54" s="96"/>
      <c r="F54" s="12">
        <f>AVERAGE(Зимина!I54:L54)</f>
        <v>-0.4058361549851261</v>
      </c>
      <c r="G54" s="12">
        <f>AVERAGE(Клещенко!I54:L54)</f>
        <v>0.59296891095080939</v>
      </c>
      <c r="H54" s="96"/>
      <c r="J54" s="12">
        <f>AVERAGE(Мамонтов!I54:L54)</f>
        <v>-0.13947060420316482</v>
      </c>
      <c r="K54" s="96"/>
      <c r="M54" s="12">
        <f>AVERAGE(Полянский!I54:L54)</f>
        <v>0.20923829796839766</v>
      </c>
      <c r="N54" s="12">
        <f>AVERAGE(Старокадомский!I54:L54)</f>
        <v>-0.85689952774586198</v>
      </c>
      <c r="P54" s="12">
        <f>AVERAGE(Чугунов!I54:L54)</f>
        <v>-1.2370006422888051</v>
      </c>
      <c r="Q54" s="12">
        <f>AVERAGE(Якименко!I54:L54)</f>
        <v>-0.12339664675043197</v>
      </c>
    </row>
    <row r="55" spans="1:17" s="12" customFormat="1" x14ac:dyDescent="0.25">
      <c r="A55" s="6" t="s">
        <v>161</v>
      </c>
      <c r="B55" s="6" t="s">
        <v>162</v>
      </c>
      <c r="C55">
        <f t="shared" si="1"/>
        <v>0.2483947636772163</v>
      </c>
      <c r="D55" s="12">
        <f>AVERAGE(Башмакова!I55:L55)</f>
        <v>-2.4275761282171168E-2</v>
      </c>
      <c r="E55" s="96"/>
      <c r="F55" s="12">
        <f>AVERAGE(Зимина!I55:L55)</f>
        <v>-3.6235370980814752E-2</v>
      </c>
      <c r="G55" s="12">
        <f>AVERAGE(Клещенко!I55:L55)</f>
        <v>6.241778010008503E-2</v>
      </c>
      <c r="H55" s="96"/>
      <c r="J55" s="12">
        <f>AVERAGE(Мамонтов!I55:L55)</f>
        <v>0.19924372029023676</v>
      </c>
      <c r="K55" s="96"/>
      <c r="M55" s="12">
        <f>AVERAGE(Полянский!I55:L55)</f>
        <v>0.20923829796839766</v>
      </c>
      <c r="N55" s="12">
        <f>AVERAGE(Старокадомский!I55:L55)</f>
        <v>0.23564737013011269</v>
      </c>
      <c r="P55" s="12">
        <f>AVERAGE(Чугунов!I55:L55)</f>
        <v>0.5654860079034546</v>
      </c>
      <c r="Q55" s="12">
        <f>AVERAGE(Якименко!I55:L55)</f>
        <v>0.77563606528842943</v>
      </c>
    </row>
    <row r="56" spans="1:17" s="12" customFormat="1" x14ac:dyDescent="0.25">
      <c r="C56"/>
      <c r="E56" s="96"/>
      <c r="H56" s="96"/>
      <c r="K56" s="96"/>
    </row>
    <row r="57" spans="1:17" s="12" customFormat="1" x14ac:dyDescent="0.25">
      <c r="A57" s="1" t="s">
        <v>18</v>
      </c>
      <c r="B57" s="7"/>
      <c r="C57"/>
      <c r="E57" s="96"/>
      <c r="H57" s="96"/>
      <c r="K57" s="96"/>
    </row>
    <row r="58" spans="1:17" s="12" customFormat="1" ht="31.5" x14ac:dyDescent="0.25">
      <c r="A58" s="13" t="s">
        <v>29</v>
      </c>
      <c r="B58" s="6" t="s">
        <v>30</v>
      </c>
      <c r="C58">
        <f t="shared" si="1"/>
        <v>-1.0601852074013633</v>
      </c>
      <c r="E58" s="96"/>
      <c r="F58" s="96"/>
      <c r="G58" s="96"/>
      <c r="H58" s="96"/>
      <c r="I58" s="96"/>
      <c r="J58" s="96"/>
      <c r="K58" s="12">
        <f>AVERAGE(Меджитов!I58:L58)</f>
        <v>-1.0601852074013633</v>
      </c>
      <c r="L58" s="96"/>
      <c r="M58" s="96"/>
      <c r="N58" s="96"/>
      <c r="O58" s="96"/>
      <c r="P58" s="96"/>
      <c r="Q58" s="96"/>
    </row>
    <row r="59" spans="1:17" s="12" customFormat="1" x14ac:dyDescent="0.25">
      <c r="A59" s="13" t="s">
        <v>66</v>
      </c>
      <c r="B59" s="6" t="s">
        <v>24</v>
      </c>
      <c r="C59">
        <f t="shared" si="1"/>
        <v>-0.33479532865306133</v>
      </c>
      <c r="E59" s="96"/>
      <c r="F59" s="96"/>
      <c r="G59" s="96"/>
      <c r="H59" s="96"/>
      <c r="I59" s="96"/>
      <c r="J59" s="96"/>
      <c r="K59" s="12">
        <f>AVERAGE(Меджитов!I59:L59)</f>
        <v>-0.33479532865306133</v>
      </c>
      <c r="L59" s="96"/>
      <c r="M59" s="96"/>
      <c r="N59" s="96"/>
      <c r="O59" s="96"/>
      <c r="P59" s="96"/>
      <c r="Q59" s="96"/>
    </row>
    <row r="60" spans="1:17" s="12" customFormat="1" x14ac:dyDescent="0.25">
      <c r="A60" s="13" t="s">
        <v>67</v>
      </c>
      <c r="B60" s="6" t="s">
        <v>55</v>
      </c>
      <c r="C60">
        <f t="shared" si="1"/>
        <v>-0.33479532865306133</v>
      </c>
      <c r="E60" s="96"/>
      <c r="F60" s="96"/>
      <c r="G60" s="96"/>
      <c r="H60" s="96"/>
      <c r="I60" s="96"/>
      <c r="J60" s="96"/>
      <c r="K60" s="12">
        <f>AVERAGE(Меджитов!I60:L60)</f>
        <v>-0.33479532865306133</v>
      </c>
      <c r="L60" s="96"/>
      <c r="M60" s="96"/>
      <c r="N60" s="96"/>
      <c r="O60" s="96"/>
      <c r="P60" s="96"/>
      <c r="Q60" s="96"/>
    </row>
    <row r="61" spans="1:17" s="12" customFormat="1" x14ac:dyDescent="0.25">
      <c r="A61" s="13" t="s">
        <v>89</v>
      </c>
      <c r="B61" s="6" t="s">
        <v>90</v>
      </c>
      <c r="C61">
        <f t="shared" si="1"/>
        <v>0.3905945500952408</v>
      </c>
      <c r="E61" s="96"/>
      <c r="F61" s="96"/>
      <c r="G61" s="96"/>
      <c r="H61" s="96"/>
      <c r="I61" s="96"/>
      <c r="J61" s="96"/>
      <c r="K61" s="12">
        <f>AVERAGE(Меджитов!I61:L61)</f>
        <v>0.3905945500952408</v>
      </c>
      <c r="L61" s="96"/>
      <c r="M61" s="96"/>
      <c r="N61" s="96"/>
      <c r="O61" s="96"/>
      <c r="P61" s="96"/>
      <c r="Q61" s="96"/>
    </row>
    <row r="62" spans="1:17" s="12" customFormat="1" x14ac:dyDescent="0.25">
      <c r="A62" s="13" t="s">
        <v>125</v>
      </c>
      <c r="B62" s="6" t="s">
        <v>126</v>
      </c>
      <c r="C62">
        <f t="shared" si="1"/>
        <v>0.3905945500952408</v>
      </c>
      <c r="E62" s="96"/>
      <c r="F62" s="96"/>
      <c r="G62" s="96"/>
      <c r="H62" s="96"/>
      <c r="I62" s="96"/>
      <c r="J62" s="96"/>
      <c r="K62" s="12">
        <f>AVERAGE(Меджитов!I62:L62)</f>
        <v>0.3905945500952408</v>
      </c>
      <c r="L62" s="96"/>
      <c r="M62" s="96"/>
      <c r="N62" s="96"/>
      <c r="O62" s="96"/>
      <c r="P62" s="96"/>
      <c r="Q62" s="96"/>
    </row>
    <row r="63" spans="1:17" s="12" customFormat="1" x14ac:dyDescent="0.25">
      <c r="A63" s="13" t="s">
        <v>127</v>
      </c>
      <c r="B63" s="6" t="s">
        <v>128</v>
      </c>
      <c r="C63">
        <f t="shared" si="1"/>
        <v>-0.33479532865306133</v>
      </c>
      <c r="E63" s="96"/>
      <c r="F63" s="96"/>
      <c r="G63" s="96"/>
      <c r="H63" s="96"/>
      <c r="I63" s="96"/>
      <c r="J63" s="96"/>
      <c r="K63" s="12">
        <f>AVERAGE(Меджитов!I63:L63)</f>
        <v>-0.33479532865306133</v>
      </c>
      <c r="L63" s="96"/>
      <c r="M63" s="96"/>
      <c r="N63" s="96"/>
      <c r="O63" s="96"/>
      <c r="P63" s="96"/>
      <c r="Q63" s="96"/>
    </row>
    <row r="64" spans="1:17" s="12" customFormat="1" x14ac:dyDescent="0.25">
      <c r="A64" s="13" t="s">
        <v>129</v>
      </c>
      <c r="B64" s="6" t="s">
        <v>130</v>
      </c>
      <c r="C64">
        <f t="shared" si="1"/>
        <v>0.3905945500952408</v>
      </c>
      <c r="E64" s="96"/>
      <c r="F64" s="96"/>
      <c r="G64" s="96"/>
      <c r="H64" s="96"/>
      <c r="I64" s="96"/>
      <c r="J64" s="96"/>
      <c r="K64" s="12">
        <f>AVERAGE(Меджитов!I64:L64)</f>
        <v>0.3905945500952408</v>
      </c>
      <c r="L64" s="96"/>
      <c r="M64" s="96"/>
      <c r="N64" s="96"/>
      <c r="O64" s="96"/>
      <c r="P64" s="96"/>
      <c r="Q64" s="96"/>
    </row>
    <row r="65" spans="1:17" s="12" customFormat="1" x14ac:dyDescent="0.25">
      <c r="A65" s="6" t="s">
        <v>138</v>
      </c>
      <c r="B65" s="6" t="s">
        <v>139</v>
      </c>
      <c r="C65">
        <f t="shared" si="1"/>
        <v>0.3905945500952408</v>
      </c>
      <c r="E65" s="96"/>
      <c r="F65" s="96"/>
      <c r="G65" s="96"/>
      <c r="H65" s="96"/>
      <c r="I65" s="96"/>
      <c r="J65" s="96"/>
      <c r="K65" s="12">
        <f>AVERAGE(Меджитов!I65:L65)</f>
        <v>0.3905945500952408</v>
      </c>
      <c r="L65" s="96"/>
      <c r="M65" s="96"/>
      <c r="N65" s="96"/>
      <c r="O65" s="96"/>
      <c r="P65" s="96"/>
      <c r="Q65" s="96"/>
    </row>
    <row r="66" spans="1:17" s="12" customFormat="1" x14ac:dyDescent="0.25">
      <c r="A66" s="6" t="s">
        <v>140</v>
      </c>
      <c r="B66" s="6" t="s">
        <v>141</v>
      </c>
      <c r="C66">
        <f t="shared" si="1"/>
        <v>0.3905945500952408</v>
      </c>
      <c r="E66" s="96"/>
      <c r="F66" s="96"/>
      <c r="G66" s="96"/>
      <c r="H66" s="96"/>
      <c r="I66" s="96"/>
      <c r="J66" s="96"/>
      <c r="K66" s="12">
        <f>AVERAGE(Меджитов!I66:L66)</f>
        <v>0.3905945500952408</v>
      </c>
      <c r="L66" s="96"/>
      <c r="M66" s="96"/>
      <c r="N66" s="96"/>
      <c r="O66" s="96"/>
      <c r="P66" s="96"/>
      <c r="Q66" s="96"/>
    </row>
    <row r="67" spans="1:17" s="12" customFormat="1" x14ac:dyDescent="0.25">
      <c r="A67" s="6" t="s">
        <v>151</v>
      </c>
      <c r="B67" s="6" t="s">
        <v>152</v>
      </c>
      <c r="C67">
        <f t="shared" si="1"/>
        <v>-0.33479532865306127</v>
      </c>
      <c r="E67" s="96"/>
      <c r="F67" s="96"/>
      <c r="G67" s="96"/>
      <c r="H67" s="96"/>
      <c r="I67" s="96"/>
      <c r="J67" s="96"/>
      <c r="K67" s="12">
        <f>AVERAGE(Меджитов!I67:L67)</f>
        <v>-0.33479532865306127</v>
      </c>
      <c r="L67" s="96"/>
      <c r="M67" s="96"/>
      <c r="N67" s="96"/>
      <c r="O67" s="96"/>
      <c r="P67" s="96"/>
      <c r="Q67" s="96"/>
    </row>
    <row r="68" spans="1:17" s="12" customFormat="1" x14ac:dyDescent="0.25">
      <c r="A68" s="6" t="s">
        <v>157</v>
      </c>
      <c r="B68" s="6" t="s">
        <v>158</v>
      </c>
      <c r="C68">
        <f t="shared" si="1"/>
        <v>0.3905945500952408</v>
      </c>
      <c r="E68" s="96"/>
      <c r="F68" s="96"/>
      <c r="G68" s="96"/>
      <c r="H68" s="96"/>
      <c r="I68" s="96"/>
      <c r="J68" s="96"/>
      <c r="K68" s="12">
        <f>AVERAGE(Меджитов!I68:L68)</f>
        <v>0.3905945500952408</v>
      </c>
      <c r="L68" s="96"/>
      <c r="M68" s="96"/>
      <c r="N68" s="96"/>
      <c r="O68" s="96"/>
      <c r="P68" s="96"/>
      <c r="Q68" s="96"/>
    </row>
    <row r="69" spans="1:17" s="12" customFormat="1" x14ac:dyDescent="0.25">
      <c r="A69" s="6" t="s">
        <v>159</v>
      </c>
      <c r="B69" s="6" t="s">
        <v>160</v>
      </c>
      <c r="C69">
        <f t="shared" si="1"/>
        <v>-0.33479532865306127</v>
      </c>
      <c r="E69" s="96"/>
      <c r="F69" s="96"/>
      <c r="G69" s="96"/>
      <c r="H69" s="96"/>
      <c r="I69" s="96"/>
      <c r="J69" s="96"/>
      <c r="K69" s="12">
        <f>AVERAGE(Меджитов!I69:L69)</f>
        <v>-0.33479532865306127</v>
      </c>
      <c r="L69" s="96"/>
      <c r="M69" s="96"/>
      <c r="N69" s="96"/>
      <c r="O69" s="96"/>
      <c r="P69" s="96"/>
      <c r="Q69" s="96"/>
    </row>
    <row r="70" spans="1:17" s="12" customFormat="1" x14ac:dyDescent="0.25">
      <c r="A70" s="6" t="s">
        <v>168</v>
      </c>
      <c r="B70" s="6" t="s">
        <v>169</v>
      </c>
      <c r="C70">
        <f t="shared" si="1"/>
        <v>0.3905945500952408</v>
      </c>
      <c r="E70" s="96"/>
      <c r="F70" s="96"/>
      <c r="G70" s="96"/>
      <c r="H70" s="96"/>
      <c r="I70" s="96"/>
      <c r="J70" s="96"/>
      <c r="K70" s="12">
        <f>AVERAGE(Меджитов!I70:L70)</f>
        <v>0.3905945500952408</v>
      </c>
      <c r="L70" s="96"/>
      <c r="M70" s="96"/>
      <c r="N70" s="96"/>
      <c r="O70" s="96"/>
      <c r="P70" s="96"/>
      <c r="Q70" s="96"/>
    </row>
    <row r="71" spans="1:17" s="12" customFormat="1" x14ac:dyDescent="0.25">
      <c r="A71" s="6"/>
      <c r="B71" s="6"/>
      <c r="C71"/>
      <c r="E71" s="96"/>
      <c r="H71" s="96"/>
      <c r="K71" s="96"/>
    </row>
    <row r="72" spans="1:17" s="12" customFormat="1" x14ac:dyDescent="0.25">
      <c r="A72" s="1" t="s">
        <v>19</v>
      </c>
      <c r="B72" s="11"/>
      <c r="C72"/>
      <c r="E72" s="96"/>
      <c r="H72" s="96"/>
      <c r="K72" s="96"/>
    </row>
    <row r="73" spans="1:17" s="12" customFormat="1" x14ac:dyDescent="0.25">
      <c r="A73" s="13" t="s">
        <v>46</v>
      </c>
      <c r="B73" s="6" t="s">
        <v>47</v>
      </c>
      <c r="C73">
        <f t="shared" ref="C73:C78" si="2">AVERAGE(D73:R73)</f>
        <v>-0.16194640191308729</v>
      </c>
      <c r="D73" s="12">
        <f>AVERAGE(Башмакова!I73:L73)</f>
        <v>-0.10165475036909202</v>
      </c>
      <c r="E73" s="96"/>
      <c r="F73" s="12">
        <f>AVERAGE(Зимина!I73:L73)</f>
        <v>-0.40583615498512615</v>
      </c>
      <c r="G73" s="12">
        <f>AVERAGE(Клещенко!I73:L73)</f>
        <v>6.241778010008503E-2</v>
      </c>
      <c r="H73" s="96"/>
      <c r="J73" s="12">
        <f>AVERAGE(Мамонтов!I73:L73)</f>
        <v>-0.13947060420316487</v>
      </c>
      <c r="K73" s="96"/>
      <c r="M73" s="12">
        <f>AVERAGE(Полянский!I73:L73)</f>
        <v>-1.1246558515801419</v>
      </c>
      <c r="N73" s="12">
        <f>AVERAGE(Старокадомский!I73:L73)</f>
        <v>0.96401196871409578</v>
      </c>
      <c r="P73" s="12">
        <f>AVERAGE(Чугунов!I73:L73)</f>
        <v>-0.87650331225035316</v>
      </c>
      <c r="Q73" s="12">
        <f>AVERAGE(Якименко!I73:L73)</f>
        <v>0.3261197092689988</v>
      </c>
    </row>
    <row r="74" spans="1:17" s="12" customFormat="1" x14ac:dyDescent="0.25">
      <c r="A74" s="6" t="s">
        <v>142</v>
      </c>
      <c r="B74" s="6" t="s">
        <v>143</v>
      </c>
      <c r="C74">
        <f t="shared" si="2"/>
        <v>0.43347057245475901</v>
      </c>
      <c r="D74" s="12">
        <f>AVERAGE(Башмакова!I74:L74)</f>
        <v>5.3103227804749693E-2</v>
      </c>
      <c r="E74" s="96"/>
      <c r="F74" s="12">
        <f>AVERAGE(Зимина!I74:L74)</f>
        <v>0.33336541302349665</v>
      </c>
      <c r="G74" s="12">
        <f>AVERAGE(Клещенко!I74:L74)</f>
        <v>0.59296891095080939</v>
      </c>
      <c r="H74" s="96"/>
      <c r="J74" s="12">
        <f>AVERAGE(Мамонтов!I74:L74)</f>
        <v>0.87667236927703995</v>
      </c>
      <c r="K74" s="96"/>
      <c r="M74" s="12">
        <f>AVERAGE(Полянский!I74:L74)</f>
        <v>0.20923829796839766</v>
      </c>
      <c r="N74" s="12">
        <f>AVERAGE(Старокадомский!I74:L74)</f>
        <v>0.59982966942210425</v>
      </c>
      <c r="P74" s="12">
        <f>AVERAGE(Чугунов!I74:L74)</f>
        <v>0.92598333794190646</v>
      </c>
      <c r="Q74" s="12">
        <f>AVERAGE(Якименко!I74:L74)</f>
        <v>-0.12339664675043194</v>
      </c>
    </row>
    <row r="75" spans="1:17" s="12" customFormat="1" x14ac:dyDescent="0.25">
      <c r="A75" s="6" t="s">
        <v>144</v>
      </c>
      <c r="B75" s="6" t="s">
        <v>55</v>
      </c>
      <c r="C75">
        <f t="shared" si="2"/>
        <v>0.23113874636656773</v>
      </c>
      <c r="D75" s="12">
        <f>AVERAGE(Башмакова!I75:L75)</f>
        <v>-2.4275761282171168E-2</v>
      </c>
      <c r="E75" s="96"/>
      <c r="F75" s="12">
        <f>AVERAGE(Зимина!I75:L75)</f>
        <v>0.70296619702780794</v>
      </c>
      <c r="G75" s="12">
        <f>AVERAGE(Клещенко!I75:L75)</f>
        <v>6.241778010008503E-2</v>
      </c>
      <c r="H75" s="96"/>
      <c r="J75" s="12">
        <f>AVERAGE(Мамонтов!I75:L75)</f>
        <v>-0.13947060420316487</v>
      </c>
      <c r="K75" s="96"/>
      <c r="M75" s="12">
        <f>AVERAGE(Полянский!I75:L75)</f>
        <v>0.20923829796839766</v>
      </c>
      <c r="N75" s="12">
        <f>AVERAGE(Старокадомский!I75:L75)</f>
        <v>0.23564737013011269</v>
      </c>
      <c r="P75" s="12">
        <f>AVERAGE(Чугунов!I75:L75)</f>
        <v>0.92598333794190646</v>
      </c>
      <c r="Q75" s="12">
        <f>AVERAGE(Якименко!I75:L75)</f>
        <v>-0.12339664675043194</v>
      </c>
    </row>
    <row r="76" spans="1:17" s="12" customFormat="1" x14ac:dyDescent="0.25">
      <c r="A76" s="6" t="s">
        <v>147</v>
      </c>
      <c r="B76" s="6" t="s">
        <v>148</v>
      </c>
      <c r="C76">
        <f t="shared" si="2"/>
        <v>-8.9609045445238664E-2</v>
      </c>
      <c r="D76" s="12">
        <f>AVERAGE(Башмакова!I76:L76)</f>
        <v>-0.25641272854293373</v>
      </c>
      <c r="E76" s="96"/>
      <c r="F76" s="12">
        <f>AVERAGE(Зимина!I76:L76)</f>
        <v>0.70296619702780794</v>
      </c>
      <c r="G76" s="12">
        <f>AVERAGE(Клещенко!I76:L76)</f>
        <v>-0.99868448160136369</v>
      </c>
      <c r="H76" s="96"/>
      <c r="J76" s="12">
        <f>AVERAGE(Мамонтов!I76:L76)</f>
        <v>0.19924372029023674</v>
      </c>
      <c r="K76" s="96"/>
      <c r="M76" s="12">
        <f>AVERAGE(Полянский!I76:L76)</f>
        <v>-0.23539308521444885</v>
      </c>
      <c r="N76" s="12">
        <f>AVERAGE(Старокадомский!I76:L76)</f>
        <v>0.59982966942210425</v>
      </c>
      <c r="P76" s="12">
        <f>AVERAGE(Чугунов!I76:L76)</f>
        <v>-0.15550865217344931</v>
      </c>
      <c r="Q76" s="12">
        <f>AVERAGE(Якименко!I76:L76)</f>
        <v>-0.57291300276986268</v>
      </c>
    </row>
    <row r="77" spans="1:17" s="12" customFormat="1" x14ac:dyDescent="0.25">
      <c r="A77" s="6" t="s">
        <v>149</v>
      </c>
      <c r="B77" s="6" t="s">
        <v>150</v>
      </c>
      <c r="C77">
        <f t="shared" si="2"/>
        <v>-0.22941285383405879</v>
      </c>
      <c r="D77" s="12">
        <f>AVERAGE(Башмакова!I77:L77)</f>
        <v>-2.4275761282171168E-2</v>
      </c>
      <c r="E77" s="96"/>
      <c r="F77" s="12">
        <f>AVERAGE(Зимина!I77:L77)</f>
        <v>-1.1450377229937487</v>
      </c>
      <c r="G77" s="12">
        <f>AVERAGE(Клещенко!I77:L77)</f>
        <v>-0.99868448160136369</v>
      </c>
      <c r="H77" s="96"/>
      <c r="J77" s="12">
        <f>AVERAGE(Мамонтов!I77:L77)</f>
        <v>0.19924372029023674</v>
      </c>
      <c r="K77" s="96"/>
      <c r="M77" s="12">
        <f>AVERAGE(Полянский!I77:L77)</f>
        <v>-0.68002446839729536</v>
      </c>
      <c r="N77" s="12">
        <f>AVERAGE(Старокадомский!I77:L77)</f>
        <v>0.23564737013011269</v>
      </c>
      <c r="P77" s="12">
        <f>AVERAGE(Чугунов!I77:L77)</f>
        <v>0.92598333794190646</v>
      </c>
      <c r="Q77" s="12">
        <f>AVERAGE(Якименко!I77:L77)</f>
        <v>-0.34815482476014731</v>
      </c>
    </row>
    <row r="78" spans="1:17" s="12" customFormat="1" x14ac:dyDescent="0.25">
      <c r="A78" s="6" t="s">
        <v>155</v>
      </c>
      <c r="B78" s="6" t="s">
        <v>156</v>
      </c>
      <c r="C78">
        <f t="shared" si="2"/>
        <v>0.5304502567269952</v>
      </c>
      <c r="D78" s="12">
        <f>AVERAGE(Башмакова!I78:L78)</f>
        <v>5.3103227804749693E-2</v>
      </c>
      <c r="E78" s="96"/>
      <c r="F78" s="12">
        <f>AVERAGE(Зимина!I78:L78)</f>
        <v>0.33336541302349659</v>
      </c>
      <c r="G78" s="12">
        <f>AVERAGE(Клещенко!I78:L78)</f>
        <v>0.59296891095080939</v>
      </c>
      <c r="H78" s="96"/>
      <c r="J78" s="12">
        <f>AVERAGE(Мамонтов!I78:L78)</f>
        <v>-0.13947060420316487</v>
      </c>
      <c r="K78" s="96"/>
      <c r="M78" s="12">
        <f>AVERAGE(Полянский!I78:L78)</f>
        <v>1.0985010643340907</v>
      </c>
      <c r="N78" s="12">
        <f>AVERAGE(Старокадомский!I78:L78)</f>
        <v>0.96401196871409578</v>
      </c>
      <c r="P78" s="12">
        <f>AVERAGE(Чугунов!I78:L78)</f>
        <v>0.5654860079034546</v>
      </c>
      <c r="Q78" s="12">
        <f>AVERAGE(Якименко!I78:L78)</f>
        <v>0.77563606528842954</v>
      </c>
    </row>
    <row r="79" spans="1:17" s="12" customFormat="1" x14ac:dyDescent="0.25">
      <c r="A79" s="11"/>
      <c r="B79" s="11"/>
      <c r="C79"/>
      <c r="E79" s="96"/>
      <c r="H79" s="96"/>
      <c r="K79" s="96"/>
    </row>
    <row r="80" spans="1:17" s="12" customFormat="1" x14ac:dyDescent="0.25">
      <c r="A80" s="1" t="s">
        <v>20</v>
      </c>
      <c r="B80" s="11"/>
      <c r="C80"/>
      <c r="E80" s="96"/>
      <c r="H80" s="96"/>
      <c r="K80" s="96"/>
    </row>
    <row r="81" spans="1:11" s="12" customFormat="1" x14ac:dyDescent="0.25">
      <c r="A81" s="13" t="s">
        <v>34</v>
      </c>
      <c r="B81" s="6" t="s">
        <v>35</v>
      </c>
      <c r="C81">
        <f>AVERAGE(D81:R81)</f>
        <v>-8.8130455394800244E-2</v>
      </c>
      <c r="E81" s="12">
        <f>AVERAGE(Вяххи!I80:L80)</f>
        <v>0.24774253389456752</v>
      </c>
      <c r="H81" s="12">
        <f>AVERAGE(Константинов!I81:L81)</f>
        <v>-0.42400344468416801</v>
      </c>
      <c r="K81" s="96"/>
    </row>
    <row r="82" spans="1:11" s="12" customFormat="1" x14ac:dyDescent="0.25">
      <c r="A82" s="13" t="s">
        <v>52</v>
      </c>
      <c r="B82" s="6" t="s">
        <v>53</v>
      </c>
      <c r="C82">
        <f t="shared" ref="C82:C93" si="3">AVERAGE(D82:R82)</f>
        <v>0.11601935130498438</v>
      </c>
      <c r="E82" s="12">
        <f>AVERAGE(Вяххи!I81:L81)</f>
        <v>0.24774253389456752</v>
      </c>
      <c r="H82" s="12">
        <f>AVERAGE(Константинов!I82:L82)</f>
        <v>-1.5703831284598763E-2</v>
      </c>
      <c r="K82" s="96"/>
    </row>
    <row r="83" spans="1:11" s="12" customFormat="1" x14ac:dyDescent="0.25">
      <c r="A83" s="13" t="s">
        <v>58</v>
      </c>
      <c r="B83" s="6" t="s">
        <v>59</v>
      </c>
      <c r="C83">
        <f t="shared" si="3"/>
        <v>-0.75237353932735329</v>
      </c>
      <c r="E83" s="12">
        <f>AVERAGE(Вяххи!I82:L82)</f>
        <v>-0.67244402057096919</v>
      </c>
      <c r="H83" s="12">
        <f>AVERAGE(Константинов!I83:L83)</f>
        <v>-0.83230305808373739</v>
      </c>
      <c r="K83" s="96"/>
    </row>
    <row r="84" spans="1:11" s="12" customFormat="1" x14ac:dyDescent="0.25">
      <c r="A84" s="13" t="s">
        <v>62</v>
      </c>
      <c r="B84" s="6" t="s">
        <v>63</v>
      </c>
      <c r="C84">
        <f t="shared" si="3"/>
        <v>-1.0715466653353301</v>
      </c>
      <c r="E84" s="12">
        <f>AVERAGE(Вяххи!I83:L83)</f>
        <v>-0.90249065918735338</v>
      </c>
      <c r="H84" s="12">
        <f>AVERAGE(Константинов!I84:L84)</f>
        <v>-1.2406026714833067</v>
      </c>
      <c r="K84" s="96"/>
    </row>
    <row r="85" spans="1:11" s="12" customFormat="1" x14ac:dyDescent="0.25">
      <c r="A85" s="13" t="s">
        <v>68</v>
      </c>
      <c r="B85" s="6" t="s">
        <v>69</v>
      </c>
      <c r="C85">
        <f t="shared" si="3"/>
        <v>-0.2930364742528378</v>
      </c>
      <c r="E85" s="12">
        <f>AVERAGE(Вяххи!I84:L84)</f>
        <v>-0.67244402057096919</v>
      </c>
      <c r="H85" s="12">
        <f>AVERAGE(Константинов!I85:L85)</f>
        <v>8.6371072065293583E-2</v>
      </c>
      <c r="K85" s="96"/>
    </row>
    <row r="86" spans="1:11" s="12" customFormat="1" x14ac:dyDescent="0.25">
      <c r="A86" s="13" t="s">
        <v>72</v>
      </c>
      <c r="B86" s="6" t="s">
        <v>73</v>
      </c>
      <c r="C86">
        <f t="shared" si="3"/>
        <v>0.34606598992136856</v>
      </c>
      <c r="E86" s="12">
        <f>AVERAGE(Вяххи!I85:L85)</f>
        <v>0.70783581112733585</v>
      </c>
      <c r="H86" s="12">
        <f>AVERAGE(Константинов!I86:L86)</f>
        <v>-1.5703831284598763E-2</v>
      </c>
      <c r="K86" s="96"/>
    </row>
    <row r="87" spans="1:11" s="12" customFormat="1" x14ac:dyDescent="0.25">
      <c r="A87" s="13" t="s">
        <v>74</v>
      </c>
      <c r="B87" s="6" t="s">
        <v>75</v>
      </c>
      <c r="C87">
        <f t="shared" si="3"/>
        <v>0.35825819372141537</v>
      </c>
      <c r="E87" s="12">
        <f>AVERAGE(Вяххи!I86:L86)</f>
        <v>1.7695895278183313E-2</v>
      </c>
      <c r="H87" s="12">
        <f>AVERAGE(Константинов!I87:L87)</f>
        <v>0.69882049216464748</v>
      </c>
      <c r="K87" s="96"/>
    </row>
    <row r="88" spans="1:11" s="12" customFormat="1" x14ac:dyDescent="0.25">
      <c r="A88" s="13" t="s">
        <v>83</v>
      </c>
      <c r="B88" s="6" t="s">
        <v>84</v>
      </c>
      <c r="C88">
        <f t="shared" si="3"/>
        <v>0.52431896470455364</v>
      </c>
      <c r="E88" s="12">
        <f>AVERAGE(Вяххи!I87:L87)</f>
        <v>0.24774253389456746</v>
      </c>
      <c r="H88" s="12">
        <f>AVERAGE(Константинов!I88:L88)</f>
        <v>0.8008953955145397</v>
      </c>
      <c r="K88" s="96"/>
    </row>
    <row r="89" spans="1:11" s="12" customFormat="1" x14ac:dyDescent="0.25">
      <c r="A89" s="13" t="s">
        <v>87</v>
      </c>
      <c r="B89" s="6" t="s">
        <v>88</v>
      </c>
      <c r="C89">
        <f t="shared" si="3"/>
        <v>-0.76532195528565305</v>
      </c>
      <c r="E89" s="12">
        <f>AVERAGE(Вяххи!I88:L88)</f>
        <v>-0.90249065918735338</v>
      </c>
      <c r="H89" s="12">
        <f>AVERAGE(Константинов!I89:L89)</f>
        <v>-0.62815325138395273</v>
      </c>
      <c r="K89" s="96"/>
    </row>
    <row r="90" spans="1:11" s="12" customFormat="1" x14ac:dyDescent="0.25">
      <c r="A90" s="13" t="s">
        <v>93</v>
      </c>
      <c r="B90" s="6" t="s">
        <v>94</v>
      </c>
      <c r="C90">
        <f t="shared" si="3"/>
        <v>0.63934228401274573</v>
      </c>
      <c r="E90" s="12">
        <f>AVERAGE(Вяххи!I89:L89)</f>
        <v>0.47778917251095165</v>
      </c>
      <c r="H90" s="12">
        <f>AVERAGE(Константинов!I90:L90)</f>
        <v>0.80089539551453981</v>
      </c>
      <c r="K90" s="96"/>
    </row>
    <row r="91" spans="1:11" s="12" customFormat="1" x14ac:dyDescent="0.25">
      <c r="A91" s="13" t="s">
        <v>105</v>
      </c>
      <c r="B91" s="6" t="s">
        <v>106</v>
      </c>
      <c r="C91">
        <f t="shared" si="3"/>
        <v>0.85644050667083005</v>
      </c>
      <c r="E91" s="12">
        <f>AVERAGE(Вяххи!I90:L90)</f>
        <v>0.70783581112733585</v>
      </c>
      <c r="H91" s="12">
        <f>AVERAGE(Константинов!I91:L91)</f>
        <v>1.0050452022143244</v>
      </c>
      <c r="K91" s="96"/>
    </row>
    <row r="92" spans="1:11" s="12" customFormat="1" x14ac:dyDescent="0.25">
      <c r="A92" s="6" t="s">
        <v>131</v>
      </c>
      <c r="B92" s="6" t="s">
        <v>57</v>
      </c>
      <c r="C92">
        <f t="shared" si="3"/>
        <v>-0.2161021906612921</v>
      </c>
      <c r="E92" s="12">
        <f>AVERAGE(Вяххи!I91:L91)</f>
        <v>-0.21235074333820084</v>
      </c>
      <c r="H92" s="12">
        <f>AVERAGE(Константинов!I92:L92)</f>
        <v>-0.2198536379843834</v>
      </c>
      <c r="K92" s="96"/>
    </row>
    <row r="93" spans="1:11" s="12" customFormat="1" x14ac:dyDescent="0.25">
      <c r="A93" s="6" t="s">
        <v>132</v>
      </c>
      <c r="B93" s="6" t="s">
        <v>133</v>
      </c>
      <c r="C93">
        <f t="shared" si="3"/>
        <v>0.34606598992136856</v>
      </c>
      <c r="E93" s="12">
        <f>AVERAGE(Вяххи!I92:L92)</f>
        <v>0.70783581112733585</v>
      </c>
      <c r="H93" s="12">
        <f>AVERAGE(Константинов!I93:L93)</f>
        <v>-1.5703831284598735E-2</v>
      </c>
      <c r="K93" s="96"/>
    </row>
    <row r="94" spans="1:11" s="12" customFormat="1" x14ac:dyDescent="0.25"/>
    <row r="95" spans="1:11" x14ac:dyDescent="0.25">
      <c r="A95" s="8" t="s">
        <v>8</v>
      </c>
      <c r="B95" s="9"/>
      <c r="C95" s="15"/>
      <c r="D95" s="9"/>
      <c r="E95" s="9"/>
      <c r="F95" s="9"/>
      <c r="G95" s="9"/>
    </row>
    <row r="96" spans="1:11" x14ac:dyDescent="0.25">
      <c r="A96" s="5" t="s">
        <v>9</v>
      </c>
      <c r="C96" s="12"/>
    </row>
    <row r="97" spans="1:3" x14ac:dyDescent="0.25">
      <c r="A97" s="5" t="s">
        <v>10</v>
      </c>
      <c r="C97" s="12"/>
    </row>
    <row r="98" spans="1:3" x14ac:dyDescent="0.25">
      <c r="A98" s="5" t="s">
        <v>11</v>
      </c>
      <c r="C98" s="12"/>
    </row>
    <row r="99" spans="1:3" x14ac:dyDescent="0.25">
      <c r="A99" s="5" t="s">
        <v>12</v>
      </c>
      <c r="C99" s="12"/>
    </row>
    <row r="100" spans="1:3" x14ac:dyDescent="0.25">
      <c r="A100" s="5" t="s">
        <v>13</v>
      </c>
      <c r="C100" s="12"/>
    </row>
    <row r="101" spans="1:3" x14ac:dyDescent="0.25">
      <c r="C101" s="12"/>
    </row>
    <row r="102" spans="1:3" x14ac:dyDescent="0.25">
      <c r="C102" s="12"/>
    </row>
    <row r="103" spans="1:3" x14ac:dyDescent="0.25">
      <c r="C103" s="12"/>
    </row>
    <row r="104" spans="1:3" x14ac:dyDescent="0.25">
      <c r="C104" s="12"/>
    </row>
    <row r="105" spans="1:3" x14ac:dyDescent="0.25">
      <c r="C105" s="12"/>
    </row>
    <row r="106" spans="1:3" x14ac:dyDescent="0.25">
      <c r="C106" s="12"/>
    </row>
    <row r="107" spans="1:3" x14ac:dyDescent="0.25">
      <c r="C107" s="12"/>
    </row>
    <row r="108" spans="1:3" x14ac:dyDescent="0.25">
      <c r="C108" s="12"/>
    </row>
    <row r="109" spans="1:3" x14ac:dyDescent="0.25">
      <c r="C109" s="12"/>
    </row>
    <row r="110" spans="1:3" x14ac:dyDescent="0.25">
      <c r="C110" s="12"/>
    </row>
    <row r="111" spans="1:3" x14ac:dyDescent="0.25">
      <c r="C111" s="12"/>
    </row>
    <row r="112" spans="1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10">
    <mergeCell ref="D2:R2"/>
    <mergeCell ref="N7:N8"/>
    <mergeCell ref="P7:P8"/>
    <mergeCell ref="Q7:Q8"/>
    <mergeCell ref="M7:M8"/>
    <mergeCell ref="D7:D8"/>
    <mergeCell ref="E7:E8"/>
    <mergeCell ref="F7:F8"/>
    <mergeCell ref="G7:G8"/>
    <mergeCell ref="J7:J8"/>
  </mergeCells>
  <phoneticPr fontId="9" type="noConversion"/>
  <conditionalFormatting sqref="C58:C7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1:C9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:C4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9:C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3:C7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5" right="0.75" top="1" bottom="1" header="0.5" footer="0.5"/>
  <pageSetup paperSize="9" orientation="portrait" horizontalDpi="4294967292" verticalDpi="4294967292" r:id="rId157"/>
  <headerFooter alignWithMargins="0"/>
  <legacyDrawing r:id="rId1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B1" workbookViewId="0">
      <selection activeCell="L7" sqref="L7:L8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  <col min="257" max="257" width="81.875" customWidth="1"/>
    <col min="258" max="260" width="23" customWidth="1"/>
    <col min="261" max="261" width="24.125" bestFit="1" customWidth="1"/>
    <col min="262" max="262" width="25.125" bestFit="1" customWidth="1"/>
    <col min="263" max="263" width="20.875" customWidth="1"/>
    <col min="513" max="513" width="81.875" customWidth="1"/>
    <col min="514" max="516" width="23" customWidth="1"/>
    <col min="517" max="517" width="24.125" bestFit="1" customWidth="1"/>
    <col min="518" max="518" width="25.125" bestFit="1" customWidth="1"/>
    <col min="519" max="519" width="20.875" customWidth="1"/>
    <col min="769" max="769" width="81.875" customWidth="1"/>
    <col min="770" max="772" width="23" customWidth="1"/>
    <col min="773" max="773" width="24.125" bestFit="1" customWidth="1"/>
    <col min="774" max="774" width="25.125" bestFit="1" customWidth="1"/>
    <col min="775" max="775" width="20.875" customWidth="1"/>
    <col min="1025" max="1025" width="81.875" customWidth="1"/>
    <col min="1026" max="1028" width="23" customWidth="1"/>
    <col min="1029" max="1029" width="24.125" bestFit="1" customWidth="1"/>
    <col min="1030" max="1030" width="25.125" bestFit="1" customWidth="1"/>
    <col min="1031" max="1031" width="20.875" customWidth="1"/>
    <col min="1281" max="1281" width="81.875" customWidth="1"/>
    <col min="1282" max="1284" width="23" customWidth="1"/>
    <col min="1285" max="1285" width="24.125" bestFit="1" customWidth="1"/>
    <col min="1286" max="1286" width="25.125" bestFit="1" customWidth="1"/>
    <col min="1287" max="1287" width="20.875" customWidth="1"/>
    <col min="1537" max="1537" width="81.875" customWidth="1"/>
    <col min="1538" max="1540" width="23" customWidth="1"/>
    <col min="1541" max="1541" width="24.125" bestFit="1" customWidth="1"/>
    <col min="1542" max="1542" width="25.125" bestFit="1" customWidth="1"/>
    <col min="1543" max="1543" width="20.875" customWidth="1"/>
    <col min="1793" max="1793" width="81.875" customWidth="1"/>
    <col min="1794" max="1796" width="23" customWidth="1"/>
    <col min="1797" max="1797" width="24.125" bestFit="1" customWidth="1"/>
    <col min="1798" max="1798" width="25.125" bestFit="1" customWidth="1"/>
    <col min="1799" max="1799" width="20.875" customWidth="1"/>
    <col min="2049" max="2049" width="81.875" customWidth="1"/>
    <col min="2050" max="2052" width="23" customWidth="1"/>
    <col min="2053" max="2053" width="24.125" bestFit="1" customWidth="1"/>
    <col min="2054" max="2054" width="25.125" bestFit="1" customWidth="1"/>
    <col min="2055" max="2055" width="20.875" customWidth="1"/>
    <col min="2305" max="2305" width="81.875" customWidth="1"/>
    <col min="2306" max="2308" width="23" customWidth="1"/>
    <col min="2309" max="2309" width="24.125" bestFit="1" customWidth="1"/>
    <col min="2310" max="2310" width="25.125" bestFit="1" customWidth="1"/>
    <col min="2311" max="2311" width="20.875" customWidth="1"/>
    <col min="2561" max="2561" width="81.875" customWidth="1"/>
    <col min="2562" max="2564" width="23" customWidth="1"/>
    <col min="2565" max="2565" width="24.125" bestFit="1" customWidth="1"/>
    <col min="2566" max="2566" width="25.125" bestFit="1" customWidth="1"/>
    <col min="2567" max="2567" width="20.875" customWidth="1"/>
    <col min="2817" max="2817" width="81.875" customWidth="1"/>
    <col min="2818" max="2820" width="23" customWidth="1"/>
    <col min="2821" max="2821" width="24.125" bestFit="1" customWidth="1"/>
    <col min="2822" max="2822" width="25.125" bestFit="1" customWidth="1"/>
    <col min="2823" max="2823" width="20.875" customWidth="1"/>
    <col min="3073" max="3073" width="81.875" customWidth="1"/>
    <col min="3074" max="3076" width="23" customWidth="1"/>
    <col min="3077" max="3077" width="24.125" bestFit="1" customWidth="1"/>
    <col min="3078" max="3078" width="25.125" bestFit="1" customWidth="1"/>
    <col min="3079" max="3079" width="20.875" customWidth="1"/>
    <col min="3329" max="3329" width="81.875" customWidth="1"/>
    <col min="3330" max="3332" width="23" customWidth="1"/>
    <col min="3333" max="3333" width="24.125" bestFit="1" customWidth="1"/>
    <col min="3334" max="3334" width="25.125" bestFit="1" customWidth="1"/>
    <col min="3335" max="3335" width="20.875" customWidth="1"/>
    <col min="3585" max="3585" width="81.875" customWidth="1"/>
    <col min="3586" max="3588" width="23" customWidth="1"/>
    <col min="3589" max="3589" width="24.125" bestFit="1" customWidth="1"/>
    <col min="3590" max="3590" width="25.125" bestFit="1" customWidth="1"/>
    <col min="3591" max="3591" width="20.875" customWidth="1"/>
    <col min="3841" max="3841" width="81.875" customWidth="1"/>
    <col min="3842" max="3844" width="23" customWidth="1"/>
    <col min="3845" max="3845" width="24.125" bestFit="1" customWidth="1"/>
    <col min="3846" max="3846" width="25.125" bestFit="1" customWidth="1"/>
    <col min="3847" max="3847" width="20.875" customWidth="1"/>
    <col min="4097" max="4097" width="81.875" customWidth="1"/>
    <col min="4098" max="4100" width="23" customWidth="1"/>
    <col min="4101" max="4101" width="24.125" bestFit="1" customWidth="1"/>
    <col min="4102" max="4102" width="25.125" bestFit="1" customWidth="1"/>
    <col min="4103" max="4103" width="20.875" customWidth="1"/>
    <col min="4353" max="4353" width="81.875" customWidth="1"/>
    <col min="4354" max="4356" width="23" customWidth="1"/>
    <col min="4357" max="4357" width="24.125" bestFit="1" customWidth="1"/>
    <col min="4358" max="4358" width="25.125" bestFit="1" customWidth="1"/>
    <col min="4359" max="4359" width="20.875" customWidth="1"/>
    <col min="4609" max="4609" width="81.875" customWidth="1"/>
    <col min="4610" max="4612" width="23" customWidth="1"/>
    <col min="4613" max="4613" width="24.125" bestFit="1" customWidth="1"/>
    <col min="4614" max="4614" width="25.125" bestFit="1" customWidth="1"/>
    <col min="4615" max="4615" width="20.875" customWidth="1"/>
    <col min="4865" max="4865" width="81.875" customWidth="1"/>
    <col min="4866" max="4868" width="23" customWidth="1"/>
    <col min="4869" max="4869" width="24.125" bestFit="1" customWidth="1"/>
    <col min="4870" max="4870" width="25.125" bestFit="1" customWidth="1"/>
    <col min="4871" max="4871" width="20.875" customWidth="1"/>
    <col min="5121" max="5121" width="81.875" customWidth="1"/>
    <col min="5122" max="5124" width="23" customWidth="1"/>
    <col min="5125" max="5125" width="24.125" bestFit="1" customWidth="1"/>
    <col min="5126" max="5126" width="25.125" bestFit="1" customWidth="1"/>
    <col min="5127" max="5127" width="20.875" customWidth="1"/>
    <col min="5377" max="5377" width="81.875" customWidth="1"/>
    <col min="5378" max="5380" width="23" customWidth="1"/>
    <col min="5381" max="5381" width="24.125" bestFit="1" customWidth="1"/>
    <col min="5382" max="5382" width="25.125" bestFit="1" customWidth="1"/>
    <col min="5383" max="5383" width="20.875" customWidth="1"/>
    <col min="5633" max="5633" width="81.875" customWidth="1"/>
    <col min="5634" max="5636" width="23" customWidth="1"/>
    <col min="5637" max="5637" width="24.125" bestFit="1" customWidth="1"/>
    <col min="5638" max="5638" width="25.125" bestFit="1" customWidth="1"/>
    <col min="5639" max="5639" width="20.875" customWidth="1"/>
    <col min="5889" max="5889" width="81.875" customWidth="1"/>
    <col min="5890" max="5892" width="23" customWidth="1"/>
    <col min="5893" max="5893" width="24.125" bestFit="1" customWidth="1"/>
    <col min="5894" max="5894" width="25.125" bestFit="1" customWidth="1"/>
    <col min="5895" max="5895" width="20.875" customWidth="1"/>
    <col min="6145" max="6145" width="81.875" customWidth="1"/>
    <col min="6146" max="6148" width="23" customWidth="1"/>
    <col min="6149" max="6149" width="24.125" bestFit="1" customWidth="1"/>
    <col min="6150" max="6150" width="25.125" bestFit="1" customWidth="1"/>
    <col min="6151" max="6151" width="20.875" customWidth="1"/>
    <col min="6401" max="6401" width="81.875" customWidth="1"/>
    <col min="6402" max="6404" width="23" customWidth="1"/>
    <col min="6405" max="6405" width="24.125" bestFit="1" customWidth="1"/>
    <col min="6406" max="6406" width="25.125" bestFit="1" customWidth="1"/>
    <col min="6407" max="6407" width="20.875" customWidth="1"/>
    <col min="6657" max="6657" width="81.875" customWidth="1"/>
    <col min="6658" max="6660" width="23" customWidth="1"/>
    <col min="6661" max="6661" width="24.125" bestFit="1" customWidth="1"/>
    <col min="6662" max="6662" width="25.125" bestFit="1" customWidth="1"/>
    <col min="6663" max="6663" width="20.875" customWidth="1"/>
    <col min="6913" max="6913" width="81.875" customWidth="1"/>
    <col min="6914" max="6916" width="23" customWidth="1"/>
    <col min="6917" max="6917" width="24.125" bestFit="1" customWidth="1"/>
    <col min="6918" max="6918" width="25.125" bestFit="1" customWidth="1"/>
    <col min="6919" max="6919" width="20.875" customWidth="1"/>
    <col min="7169" max="7169" width="81.875" customWidth="1"/>
    <col min="7170" max="7172" width="23" customWidth="1"/>
    <col min="7173" max="7173" width="24.125" bestFit="1" customWidth="1"/>
    <col min="7174" max="7174" width="25.125" bestFit="1" customWidth="1"/>
    <col min="7175" max="7175" width="20.875" customWidth="1"/>
    <col min="7425" max="7425" width="81.875" customWidth="1"/>
    <col min="7426" max="7428" width="23" customWidth="1"/>
    <col min="7429" max="7429" width="24.125" bestFit="1" customWidth="1"/>
    <col min="7430" max="7430" width="25.125" bestFit="1" customWidth="1"/>
    <col min="7431" max="7431" width="20.875" customWidth="1"/>
    <col min="7681" max="7681" width="81.875" customWidth="1"/>
    <col min="7682" max="7684" width="23" customWidth="1"/>
    <col min="7685" max="7685" width="24.125" bestFit="1" customWidth="1"/>
    <col min="7686" max="7686" width="25.125" bestFit="1" customWidth="1"/>
    <col min="7687" max="7687" width="20.875" customWidth="1"/>
    <col min="7937" max="7937" width="81.875" customWidth="1"/>
    <col min="7938" max="7940" width="23" customWidth="1"/>
    <col min="7941" max="7941" width="24.125" bestFit="1" customWidth="1"/>
    <col min="7942" max="7942" width="25.125" bestFit="1" customWidth="1"/>
    <col min="7943" max="7943" width="20.875" customWidth="1"/>
    <col min="8193" max="8193" width="81.875" customWidth="1"/>
    <col min="8194" max="8196" width="23" customWidth="1"/>
    <col min="8197" max="8197" width="24.125" bestFit="1" customWidth="1"/>
    <col min="8198" max="8198" width="25.125" bestFit="1" customWidth="1"/>
    <col min="8199" max="8199" width="20.875" customWidth="1"/>
    <col min="8449" max="8449" width="81.875" customWidth="1"/>
    <col min="8450" max="8452" width="23" customWidth="1"/>
    <col min="8453" max="8453" width="24.125" bestFit="1" customWidth="1"/>
    <col min="8454" max="8454" width="25.125" bestFit="1" customWidth="1"/>
    <col min="8455" max="8455" width="20.875" customWidth="1"/>
    <col min="8705" max="8705" width="81.875" customWidth="1"/>
    <col min="8706" max="8708" width="23" customWidth="1"/>
    <col min="8709" max="8709" width="24.125" bestFit="1" customWidth="1"/>
    <col min="8710" max="8710" width="25.125" bestFit="1" customWidth="1"/>
    <col min="8711" max="8711" width="20.875" customWidth="1"/>
    <col min="8961" max="8961" width="81.875" customWidth="1"/>
    <col min="8962" max="8964" width="23" customWidth="1"/>
    <col min="8965" max="8965" width="24.125" bestFit="1" customWidth="1"/>
    <col min="8966" max="8966" width="25.125" bestFit="1" customWidth="1"/>
    <col min="8967" max="8967" width="20.875" customWidth="1"/>
    <col min="9217" max="9217" width="81.875" customWidth="1"/>
    <col min="9218" max="9220" width="23" customWidth="1"/>
    <col min="9221" max="9221" width="24.125" bestFit="1" customWidth="1"/>
    <col min="9222" max="9222" width="25.125" bestFit="1" customWidth="1"/>
    <col min="9223" max="9223" width="20.875" customWidth="1"/>
    <col min="9473" max="9473" width="81.875" customWidth="1"/>
    <col min="9474" max="9476" width="23" customWidth="1"/>
    <col min="9477" max="9477" width="24.125" bestFit="1" customWidth="1"/>
    <col min="9478" max="9478" width="25.125" bestFit="1" customWidth="1"/>
    <col min="9479" max="9479" width="20.875" customWidth="1"/>
    <col min="9729" max="9729" width="81.875" customWidth="1"/>
    <col min="9730" max="9732" width="23" customWidth="1"/>
    <col min="9733" max="9733" width="24.125" bestFit="1" customWidth="1"/>
    <col min="9734" max="9734" width="25.125" bestFit="1" customWidth="1"/>
    <col min="9735" max="9735" width="20.875" customWidth="1"/>
    <col min="9985" max="9985" width="81.875" customWidth="1"/>
    <col min="9986" max="9988" width="23" customWidth="1"/>
    <col min="9989" max="9989" width="24.125" bestFit="1" customWidth="1"/>
    <col min="9990" max="9990" width="25.125" bestFit="1" customWidth="1"/>
    <col min="9991" max="9991" width="20.875" customWidth="1"/>
    <col min="10241" max="10241" width="81.875" customWidth="1"/>
    <col min="10242" max="10244" width="23" customWidth="1"/>
    <col min="10245" max="10245" width="24.125" bestFit="1" customWidth="1"/>
    <col min="10246" max="10246" width="25.125" bestFit="1" customWidth="1"/>
    <col min="10247" max="10247" width="20.875" customWidth="1"/>
    <col min="10497" max="10497" width="81.875" customWidth="1"/>
    <col min="10498" max="10500" width="23" customWidth="1"/>
    <col min="10501" max="10501" width="24.125" bestFit="1" customWidth="1"/>
    <col min="10502" max="10502" width="25.125" bestFit="1" customWidth="1"/>
    <col min="10503" max="10503" width="20.875" customWidth="1"/>
    <col min="10753" max="10753" width="81.875" customWidth="1"/>
    <col min="10754" max="10756" width="23" customWidth="1"/>
    <col min="10757" max="10757" width="24.125" bestFit="1" customWidth="1"/>
    <col min="10758" max="10758" width="25.125" bestFit="1" customWidth="1"/>
    <col min="10759" max="10759" width="20.875" customWidth="1"/>
    <col min="11009" max="11009" width="81.875" customWidth="1"/>
    <col min="11010" max="11012" width="23" customWidth="1"/>
    <col min="11013" max="11013" width="24.125" bestFit="1" customWidth="1"/>
    <col min="11014" max="11014" width="25.125" bestFit="1" customWidth="1"/>
    <col min="11015" max="11015" width="20.875" customWidth="1"/>
    <col min="11265" max="11265" width="81.875" customWidth="1"/>
    <col min="11266" max="11268" width="23" customWidth="1"/>
    <col min="11269" max="11269" width="24.125" bestFit="1" customWidth="1"/>
    <col min="11270" max="11270" width="25.125" bestFit="1" customWidth="1"/>
    <col min="11271" max="11271" width="20.875" customWidth="1"/>
    <col min="11521" max="11521" width="81.875" customWidth="1"/>
    <col min="11522" max="11524" width="23" customWidth="1"/>
    <col min="11525" max="11525" width="24.125" bestFit="1" customWidth="1"/>
    <col min="11526" max="11526" width="25.125" bestFit="1" customWidth="1"/>
    <col min="11527" max="11527" width="20.875" customWidth="1"/>
    <col min="11777" max="11777" width="81.875" customWidth="1"/>
    <col min="11778" max="11780" width="23" customWidth="1"/>
    <col min="11781" max="11781" width="24.125" bestFit="1" customWidth="1"/>
    <col min="11782" max="11782" width="25.125" bestFit="1" customWidth="1"/>
    <col min="11783" max="11783" width="20.875" customWidth="1"/>
    <col min="12033" max="12033" width="81.875" customWidth="1"/>
    <col min="12034" max="12036" width="23" customWidth="1"/>
    <col min="12037" max="12037" width="24.125" bestFit="1" customWidth="1"/>
    <col min="12038" max="12038" width="25.125" bestFit="1" customWidth="1"/>
    <col min="12039" max="12039" width="20.875" customWidth="1"/>
    <col min="12289" max="12289" width="81.875" customWidth="1"/>
    <col min="12290" max="12292" width="23" customWidth="1"/>
    <col min="12293" max="12293" width="24.125" bestFit="1" customWidth="1"/>
    <col min="12294" max="12294" width="25.125" bestFit="1" customWidth="1"/>
    <col min="12295" max="12295" width="20.875" customWidth="1"/>
    <col min="12545" max="12545" width="81.875" customWidth="1"/>
    <col min="12546" max="12548" width="23" customWidth="1"/>
    <col min="12549" max="12549" width="24.125" bestFit="1" customWidth="1"/>
    <col min="12550" max="12550" width="25.125" bestFit="1" customWidth="1"/>
    <col min="12551" max="12551" width="20.875" customWidth="1"/>
    <col min="12801" max="12801" width="81.875" customWidth="1"/>
    <col min="12802" max="12804" width="23" customWidth="1"/>
    <col min="12805" max="12805" width="24.125" bestFit="1" customWidth="1"/>
    <col min="12806" max="12806" width="25.125" bestFit="1" customWidth="1"/>
    <col min="12807" max="12807" width="20.875" customWidth="1"/>
    <col min="13057" max="13057" width="81.875" customWidth="1"/>
    <col min="13058" max="13060" width="23" customWidth="1"/>
    <col min="13061" max="13061" width="24.125" bestFit="1" customWidth="1"/>
    <col min="13062" max="13062" width="25.125" bestFit="1" customWidth="1"/>
    <col min="13063" max="13063" width="20.875" customWidth="1"/>
    <col min="13313" max="13313" width="81.875" customWidth="1"/>
    <col min="13314" max="13316" width="23" customWidth="1"/>
    <col min="13317" max="13317" width="24.125" bestFit="1" customWidth="1"/>
    <col min="13318" max="13318" width="25.125" bestFit="1" customWidth="1"/>
    <col min="13319" max="13319" width="20.875" customWidth="1"/>
    <col min="13569" max="13569" width="81.875" customWidth="1"/>
    <col min="13570" max="13572" width="23" customWidth="1"/>
    <col min="13573" max="13573" width="24.125" bestFit="1" customWidth="1"/>
    <col min="13574" max="13574" width="25.125" bestFit="1" customWidth="1"/>
    <col min="13575" max="13575" width="20.875" customWidth="1"/>
    <col min="13825" max="13825" width="81.875" customWidth="1"/>
    <col min="13826" max="13828" width="23" customWidth="1"/>
    <col min="13829" max="13829" width="24.125" bestFit="1" customWidth="1"/>
    <col min="13830" max="13830" width="25.125" bestFit="1" customWidth="1"/>
    <col min="13831" max="13831" width="20.875" customWidth="1"/>
    <col min="14081" max="14081" width="81.875" customWidth="1"/>
    <col min="14082" max="14084" width="23" customWidth="1"/>
    <col min="14085" max="14085" width="24.125" bestFit="1" customWidth="1"/>
    <col min="14086" max="14086" width="25.125" bestFit="1" customWidth="1"/>
    <col min="14087" max="14087" width="20.875" customWidth="1"/>
    <col min="14337" max="14337" width="81.875" customWidth="1"/>
    <col min="14338" max="14340" width="23" customWidth="1"/>
    <col min="14341" max="14341" width="24.125" bestFit="1" customWidth="1"/>
    <col min="14342" max="14342" width="25.125" bestFit="1" customWidth="1"/>
    <col min="14343" max="14343" width="20.875" customWidth="1"/>
    <col min="14593" max="14593" width="81.875" customWidth="1"/>
    <col min="14594" max="14596" width="23" customWidth="1"/>
    <col min="14597" max="14597" width="24.125" bestFit="1" customWidth="1"/>
    <col min="14598" max="14598" width="25.125" bestFit="1" customWidth="1"/>
    <col min="14599" max="14599" width="20.875" customWidth="1"/>
    <col min="14849" max="14849" width="81.875" customWidth="1"/>
    <col min="14850" max="14852" width="23" customWidth="1"/>
    <col min="14853" max="14853" width="24.125" bestFit="1" customWidth="1"/>
    <col min="14854" max="14854" width="25.125" bestFit="1" customWidth="1"/>
    <col min="14855" max="14855" width="20.875" customWidth="1"/>
    <col min="15105" max="15105" width="81.875" customWidth="1"/>
    <col min="15106" max="15108" width="23" customWidth="1"/>
    <col min="15109" max="15109" width="24.125" bestFit="1" customWidth="1"/>
    <col min="15110" max="15110" width="25.125" bestFit="1" customWidth="1"/>
    <col min="15111" max="15111" width="20.875" customWidth="1"/>
    <col min="15361" max="15361" width="81.875" customWidth="1"/>
    <col min="15362" max="15364" width="23" customWidth="1"/>
    <col min="15365" max="15365" width="24.125" bestFit="1" customWidth="1"/>
    <col min="15366" max="15366" width="25.125" bestFit="1" customWidth="1"/>
    <col min="15367" max="15367" width="20.875" customWidth="1"/>
    <col min="15617" max="15617" width="81.875" customWidth="1"/>
    <col min="15618" max="15620" width="23" customWidth="1"/>
    <col min="15621" max="15621" width="24.125" bestFit="1" customWidth="1"/>
    <col min="15622" max="15622" width="25.125" bestFit="1" customWidth="1"/>
    <col min="15623" max="15623" width="20.875" customWidth="1"/>
    <col min="15873" max="15873" width="81.875" customWidth="1"/>
    <col min="15874" max="15876" width="23" customWidth="1"/>
    <col min="15877" max="15877" width="24.125" bestFit="1" customWidth="1"/>
    <col min="15878" max="15878" width="25.125" bestFit="1" customWidth="1"/>
    <col min="15879" max="15879" width="20.875" customWidth="1"/>
    <col min="16129" max="16129" width="81.875" customWidth="1"/>
    <col min="16130" max="16132" width="23" customWidth="1"/>
    <col min="16133" max="16133" width="24.125" bestFit="1" customWidth="1"/>
    <col min="16134" max="16134" width="25.125" bestFit="1" customWidth="1"/>
    <col min="16135" max="16135" width="20.875" customWidth="1"/>
  </cols>
  <sheetData>
    <row r="1" spans="1:12" x14ac:dyDescent="0.25">
      <c r="A1" s="19" t="s">
        <v>14</v>
      </c>
      <c r="B1" s="104"/>
      <c r="C1" s="104"/>
      <c r="D1" s="104"/>
      <c r="E1" s="104"/>
      <c r="F1" s="104"/>
      <c r="G1" s="104"/>
      <c r="H1" t="s">
        <v>215</v>
      </c>
      <c r="I1">
        <f>AVERAGE(D6:G93)</f>
        <v>4.382352941176471</v>
      </c>
      <c r="J1" t="s">
        <v>175</v>
      </c>
      <c r="K1">
        <f>_xlfn.STDEV.S(D6:G94)</f>
        <v>0.56226350513182755</v>
      </c>
    </row>
    <row r="2" spans="1:12" x14ac:dyDescent="0.25">
      <c r="D2" s="107" t="s">
        <v>16</v>
      </c>
      <c r="E2" s="107"/>
      <c r="F2" s="107"/>
      <c r="G2" s="107"/>
      <c r="I2" s="103" t="s">
        <v>213</v>
      </c>
      <c r="J2" s="103"/>
      <c r="K2" s="103"/>
      <c r="L2" s="103"/>
    </row>
    <row r="3" spans="1:12" s="2" customFormat="1" ht="18.75" x14ac:dyDescent="0.3">
      <c r="A3" s="3" t="s">
        <v>3</v>
      </c>
      <c r="B3" s="3" t="s">
        <v>4</v>
      </c>
      <c r="C3" s="3" t="s">
        <v>17</v>
      </c>
      <c r="D3" s="3" t="s">
        <v>15</v>
      </c>
      <c r="E3" s="3" t="s">
        <v>7</v>
      </c>
      <c r="F3" s="3" t="s">
        <v>5</v>
      </c>
      <c r="G3" s="3" t="s">
        <v>6</v>
      </c>
      <c r="I3" s="3" t="str">
        <f>D3</f>
        <v>Актуальность темы</v>
      </c>
      <c r="J3" s="3" t="str">
        <f t="shared" ref="J3:L3" si="0">E3</f>
        <v>Научная состовляющая</v>
      </c>
      <c r="K3" s="3" t="str">
        <f t="shared" si="0"/>
        <v>Доступность изложения</v>
      </c>
      <c r="L3" s="3" t="str">
        <f t="shared" si="0"/>
        <v>Авторский стиль</v>
      </c>
    </row>
    <row r="4" spans="1:12" s="2" customFormat="1" ht="18.75" x14ac:dyDescent="0.3">
      <c r="A4" s="4"/>
      <c r="B4" s="4"/>
      <c r="C4" s="20"/>
      <c r="D4" s="4"/>
      <c r="E4" s="4"/>
      <c r="F4" s="4"/>
      <c r="G4" s="4"/>
    </row>
    <row r="5" spans="1:12" s="21" customFormat="1" x14ac:dyDescent="0.25">
      <c r="A5" s="19" t="s">
        <v>0</v>
      </c>
    </row>
    <row r="6" spans="1:12" s="21" customFormat="1" x14ac:dyDescent="0.25">
      <c r="A6" s="13" t="s">
        <v>21</v>
      </c>
      <c r="B6" s="6" t="s">
        <v>22</v>
      </c>
      <c r="C6" s="22"/>
      <c r="D6" s="21">
        <v>4</v>
      </c>
      <c r="E6" s="21">
        <v>5</v>
      </c>
      <c r="F6" s="21">
        <v>5</v>
      </c>
      <c r="G6" s="47">
        <v>5</v>
      </c>
      <c r="I6" s="21">
        <f>STANDARDIZE(D6,$I$1,$K$1)</f>
        <v>-0.68002446839729536</v>
      </c>
      <c r="J6" s="21">
        <f t="shared" ref="J6:L6" si="1">STANDARDIZE(E6,$I$1,$K$1)</f>
        <v>1.0985010643340907</v>
      </c>
      <c r="K6" s="21">
        <f t="shared" si="1"/>
        <v>1.0985010643340907</v>
      </c>
      <c r="L6" s="21">
        <f t="shared" si="1"/>
        <v>1.0985010643340907</v>
      </c>
    </row>
    <row r="7" spans="1:12" s="21" customFormat="1" x14ac:dyDescent="0.25">
      <c r="A7" s="23" t="s">
        <v>31</v>
      </c>
      <c r="B7" s="6" t="s">
        <v>32</v>
      </c>
      <c r="C7" s="118"/>
      <c r="D7" s="120">
        <v>4</v>
      </c>
      <c r="E7" s="120">
        <v>5</v>
      </c>
      <c r="F7" s="120">
        <v>5</v>
      </c>
      <c r="G7" s="120">
        <v>5</v>
      </c>
      <c r="I7" s="119">
        <f t="shared" ref="I7:I55" si="2">STANDARDIZE(D7,$I$1,$K$1)</f>
        <v>-0.68002446839729536</v>
      </c>
      <c r="J7" s="119">
        <f t="shared" ref="J7:J55" si="3">STANDARDIZE(E7,$I$1,$K$1)</f>
        <v>1.0985010643340907</v>
      </c>
      <c r="K7" s="119">
        <f t="shared" ref="K7:K55" si="4">STANDARDIZE(F7,$I$1,$K$1)</f>
        <v>1.0985010643340907</v>
      </c>
      <c r="L7" s="119">
        <f t="shared" ref="L7:L55" si="5">STANDARDIZE(G7,$I$1,$K$1)</f>
        <v>1.0985010643340907</v>
      </c>
    </row>
    <row r="8" spans="1:12" s="21" customFormat="1" x14ac:dyDescent="0.25">
      <c r="A8" s="13" t="s">
        <v>33</v>
      </c>
      <c r="B8" s="6" t="s">
        <v>32</v>
      </c>
      <c r="C8" s="118"/>
      <c r="D8" s="120"/>
      <c r="E8" s="120"/>
      <c r="F8" s="120"/>
      <c r="G8" s="120"/>
      <c r="I8" s="119"/>
      <c r="J8" s="119"/>
      <c r="K8" s="119"/>
      <c r="L8" s="119"/>
    </row>
    <row r="9" spans="1:12" s="21" customFormat="1" x14ac:dyDescent="0.25">
      <c r="A9" s="13" t="s">
        <v>36</v>
      </c>
      <c r="B9" s="6" t="s">
        <v>37</v>
      </c>
      <c r="C9" s="22"/>
      <c r="D9" s="21">
        <v>4</v>
      </c>
      <c r="E9" s="21">
        <v>4</v>
      </c>
      <c r="F9" s="21">
        <v>5</v>
      </c>
      <c r="G9" s="47">
        <v>4</v>
      </c>
      <c r="I9" s="21">
        <f t="shared" si="2"/>
        <v>-0.68002446839729536</v>
      </c>
      <c r="J9" s="21">
        <f t="shared" si="3"/>
        <v>-0.68002446839729536</v>
      </c>
      <c r="K9" s="21">
        <f t="shared" si="4"/>
        <v>1.0985010643340907</v>
      </c>
      <c r="L9" s="21">
        <f t="shared" si="5"/>
        <v>-0.68002446839729536</v>
      </c>
    </row>
    <row r="10" spans="1:12" s="21" customFormat="1" x14ac:dyDescent="0.25">
      <c r="A10" s="13" t="s">
        <v>38</v>
      </c>
      <c r="B10" s="6" t="s">
        <v>39</v>
      </c>
      <c r="C10" s="22"/>
      <c r="D10" s="21">
        <v>5</v>
      </c>
      <c r="E10" s="21">
        <v>4</v>
      </c>
      <c r="F10" s="21">
        <v>4</v>
      </c>
      <c r="G10" s="47">
        <v>4</v>
      </c>
      <c r="I10" s="21">
        <f t="shared" si="2"/>
        <v>1.0985010643340907</v>
      </c>
      <c r="J10" s="21">
        <f t="shared" si="3"/>
        <v>-0.68002446839729536</v>
      </c>
      <c r="K10" s="21">
        <f t="shared" si="4"/>
        <v>-0.68002446839729536</v>
      </c>
      <c r="L10" s="21">
        <f t="shared" si="5"/>
        <v>-0.68002446839729536</v>
      </c>
    </row>
    <row r="11" spans="1:12" s="21" customFormat="1" x14ac:dyDescent="0.25">
      <c r="A11" s="13" t="s">
        <v>42</v>
      </c>
      <c r="B11" s="6" t="s">
        <v>43</v>
      </c>
      <c r="C11" s="22"/>
      <c r="D11" s="47">
        <v>5</v>
      </c>
      <c r="E11" s="47">
        <v>4</v>
      </c>
      <c r="F11" s="47">
        <v>3</v>
      </c>
      <c r="G11" s="47">
        <v>4</v>
      </c>
      <c r="I11" s="21">
        <f t="shared" si="2"/>
        <v>1.0985010643340907</v>
      </c>
      <c r="J11" s="21">
        <f t="shared" si="3"/>
        <v>-0.68002446839729536</v>
      </c>
      <c r="K11" s="21">
        <f t="shared" si="4"/>
        <v>-2.4585500011286814</v>
      </c>
      <c r="L11" s="21">
        <f t="shared" si="5"/>
        <v>-0.68002446839729536</v>
      </c>
    </row>
    <row r="12" spans="1:12" s="21" customFormat="1" x14ac:dyDescent="0.25">
      <c r="A12" s="13" t="s">
        <v>44</v>
      </c>
      <c r="B12" s="6" t="s">
        <v>45</v>
      </c>
      <c r="C12" s="22"/>
      <c r="D12" s="47">
        <v>4</v>
      </c>
      <c r="E12" s="47">
        <v>4</v>
      </c>
      <c r="F12" s="47">
        <v>5</v>
      </c>
      <c r="G12" s="47">
        <v>5</v>
      </c>
      <c r="I12" s="21">
        <f t="shared" si="2"/>
        <v>-0.68002446839729536</v>
      </c>
      <c r="J12" s="21">
        <f t="shared" si="3"/>
        <v>-0.68002446839729536</v>
      </c>
      <c r="K12" s="21">
        <f t="shared" si="4"/>
        <v>1.0985010643340907</v>
      </c>
      <c r="L12" s="21">
        <f t="shared" si="5"/>
        <v>1.0985010643340907</v>
      </c>
    </row>
    <row r="13" spans="1:12" s="21" customFormat="1" x14ac:dyDescent="0.25">
      <c r="A13" s="13" t="s">
        <v>50</v>
      </c>
      <c r="B13" s="6" t="s">
        <v>51</v>
      </c>
      <c r="C13" s="22"/>
      <c r="D13" s="47">
        <v>4</v>
      </c>
      <c r="E13" s="47">
        <v>4</v>
      </c>
      <c r="F13" s="47">
        <v>4</v>
      </c>
      <c r="G13" s="47">
        <v>4</v>
      </c>
      <c r="I13" s="21">
        <f t="shared" si="2"/>
        <v>-0.68002446839729536</v>
      </c>
      <c r="J13" s="21">
        <f t="shared" si="3"/>
        <v>-0.68002446839729536</v>
      </c>
      <c r="K13" s="21">
        <f t="shared" si="4"/>
        <v>-0.68002446839729536</v>
      </c>
      <c r="L13" s="21">
        <f t="shared" si="5"/>
        <v>-0.68002446839729536</v>
      </c>
    </row>
    <row r="14" spans="1:12" s="21" customFormat="1" x14ac:dyDescent="0.25">
      <c r="A14" s="13" t="s">
        <v>54</v>
      </c>
      <c r="B14" s="6" t="s">
        <v>55</v>
      </c>
      <c r="C14" s="22"/>
      <c r="D14" s="47">
        <v>5</v>
      </c>
      <c r="E14" s="47">
        <v>4</v>
      </c>
      <c r="F14" s="47">
        <v>5</v>
      </c>
      <c r="G14" s="47">
        <v>4</v>
      </c>
      <c r="I14" s="21">
        <f t="shared" si="2"/>
        <v>1.0985010643340907</v>
      </c>
      <c r="J14" s="21">
        <f t="shared" si="3"/>
        <v>-0.68002446839729536</v>
      </c>
      <c r="K14" s="21">
        <f t="shared" si="4"/>
        <v>1.0985010643340907</v>
      </c>
      <c r="L14" s="21">
        <f t="shared" si="5"/>
        <v>-0.68002446839729536</v>
      </c>
    </row>
    <row r="15" spans="1:12" s="21" customFormat="1" x14ac:dyDescent="0.25">
      <c r="A15" s="13" t="s">
        <v>56</v>
      </c>
      <c r="B15" s="6" t="s">
        <v>57</v>
      </c>
      <c r="C15" s="22"/>
      <c r="D15" s="47">
        <v>4</v>
      </c>
      <c r="E15" s="47">
        <v>4</v>
      </c>
      <c r="F15" s="47">
        <v>5</v>
      </c>
      <c r="G15" s="47">
        <v>5</v>
      </c>
      <c r="I15" s="21">
        <f t="shared" si="2"/>
        <v>-0.68002446839729536</v>
      </c>
      <c r="J15" s="21">
        <f t="shared" si="3"/>
        <v>-0.68002446839729536</v>
      </c>
      <c r="K15" s="21">
        <f t="shared" si="4"/>
        <v>1.0985010643340907</v>
      </c>
      <c r="L15" s="21">
        <f t="shared" si="5"/>
        <v>1.0985010643340907</v>
      </c>
    </row>
    <row r="16" spans="1:12" x14ac:dyDescent="0.25">
      <c r="A16" s="13" t="s">
        <v>60</v>
      </c>
      <c r="B16" s="6" t="s">
        <v>61</v>
      </c>
      <c r="C16" s="21"/>
      <c r="D16" s="47">
        <v>5</v>
      </c>
      <c r="E16" s="47">
        <v>4</v>
      </c>
      <c r="F16" s="47">
        <v>4</v>
      </c>
      <c r="G16" s="47">
        <v>4</v>
      </c>
      <c r="I16" s="21">
        <f t="shared" si="2"/>
        <v>1.0985010643340907</v>
      </c>
      <c r="J16" s="21">
        <f t="shared" si="3"/>
        <v>-0.68002446839729536</v>
      </c>
      <c r="K16" s="21">
        <f t="shared" si="4"/>
        <v>-0.68002446839729536</v>
      </c>
      <c r="L16" s="21">
        <f t="shared" si="5"/>
        <v>-0.68002446839729536</v>
      </c>
    </row>
    <row r="17" spans="1:12" s="21" customFormat="1" x14ac:dyDescent="0.25">
      <c r="A17" s="13" t="s">
        <v>70</v>
      </c>
      <c r="B17" s="6" t="s">
        <v>71</v>
      </c>
      <c r="C17" s="22"/>
      <c r="D17" s="47">
        <v>5</v>
      </c>
      <c r="E17" s="47">
        <v>4</v>
      </c>
      <c r="F17" s="47">
        <v>4</v>
      </c>
      <c r="G17" s="47">
        <v>4</v>
      </c>
      <c r="I17" s="21">
        <f t="shared" si="2"/>
        <v>1.0985010643340907</v>
      </c>
      <c r="J17" s="21">
        <f t="shared" si="3"/>
        <v>-0.68002446839729536</v>
      </c>
      <c r="K17" s="21">
        <f t="shared" si="4"/>
        <v>-0.68002446839729536</v>
      </c>
      <c r="L17" s="21">
        <f t="shared" si="5"/>
        <v>-0.68002446839729536</v>
      </c>
    </row>
    <row r="18" spans="1:12" s="21" customFormat="1" x14ac:dyDescent="0.25">
      <c r="A18" s="13" t="s">
        <v>78</v>
      </c>
      <c r="B18" s="6" t="s">
        <v>53</v>
      </c>
      <c r="C18" s="22"/>
      <c r="D18" s="47">
        <v>5</v>
      </c>
      <c r="E18" s="47">
        <v>5</v>
      </c>
      <c r="F18" s="47">
        <v>5</v>
      </c>
      <c r="G18" s="47">
        <v>5</v>
      </c>
      <c r="I18" s="21">
        <f t="shared" si="2"/>
        <v>1.0985010643340907</v>
      </c>
      <c r="J18" s="21">
        <f t="shared" si="3"/>
        <v>1.0985010643340907</v>
      </c>
      <c r="K18" s="21">
        <f t="shared" si="4"/>
        <v>1.0985010643340907</v>
      </c>
      <c r="L18" s="21">
        <f t="shared" si="5"/>
        <v>1.0985010643340907</v>
      </c>
    </row>
    <row r="19" spans="1:12" s="21" customFormat="1" x14ac:dyDescent="0.25">
      <c r="A19" s="13" t="s">
        <v>79</v>
      </c>
      <c r="B19" s="6" t="s">
        <v>80</v>
      </c>
      <c r="C19" s="22"/>
      <c r="D19" s="47">
        <v>5</v>
      </c>
      <c r="E19" s="47">
        <v>4</v>
      </c>
      <c r="F19" s="47">
        <v>3</v>
      </c>
      <c r="G19" s="47">
        <v>4</v>
      </c>
      <c r="I19" s="21">
        <f t="shared" si="2"/>
        <v>1.0985010643340907</v>
      </c>
      <c r="J19" s="21">
        <f t="shared" si="3"/>
        <v>-0.68002446839729536</v>
      </c>
      <c r="K19" s="21">
        <f t="shared" si="4"/>
        <v>-2.4585500011286814</v>
      </c>
      <c r="L19" s="21">
        <f t="shared" si="5"/>
        <v>-0.68002446839729536</v>
      </c>
    </row>
    <row r="20" spans="1:12" s="21" customFormat="1" x14ac:dyDescent="0.25">
      <c r="A20" s="13" t="s">
        <v>81</v>
      </c>
      <c r="B20" s="6" t="s">
        <v>82</v>
      </c>
      <c r="C20" s="22"/>
      <c r="D20" s="47">
        <v>5</v>
      </c>
      <c r="E20" s="47">
        <v>4</v>
      </c>
      <c r="F20" s="47">
        <v>4</v>
      </c>
      <c r="G20" s="47">
        <v>4</v>
      </c>
      <c r="I20" s="21">
        <f t="shared" si="2"/>
        <v>1.0985010643340907</v>
      </c>
      <c r="J20" s="21">
        <f t="shared" si="3"/>
        <v>-0.68002446839729536</v>
      </c>
      <c r="K20" s="21">
        <f t="shared" si="4"/>
        <v>-0.68002446839729536</v>
      </c>
      <c r="L20" s="21">
        <f t="shared" si="5"/>
        <v>-0.68002446839729536</v>
      </c>
    </row>
    <row r="21" spans="1:12" s="21" customFormat="1" x14ac:dyDescent="0.25">
      <c r="A21" s="13" t="s">
        <v>85</v>
      </c>
      <c r="B21" s="6" t="s">
        <v>86</v>
      </c>
      <c r="C21" s="22"/>
      <c r="D21" s="47">
        <v>4</v>
      </c>
      <c r="E21" s="47">
        <v>4</v>
      </c>
      <c r="F21" s="47">
        <v>5</v>
      </c>
      <c r="G21" s="47">
        <v>5</v>
      </c>
      <c r="I21" s="21">
        <f t="shared" si="2"/>
        <v>-0.68002446839729536</v>
      </c>
      <c r="J21" s="21">
        <f t="shared" si="3"/>
        <v>-0.68002446839729536</v>
      </c>
      <c r="K21" s="21">
        <f t="shared" si="4"/>
        <v>1.0985010643340907</v>
      </c>
      <c r="L21" s="21">
        <f t="shared" si="5"/>
        <v>1.0985010643340907</v>
      </c>
    </row>
    <row r="22" spans="1:12" s="21" customFormat="1" x14ac:dyDescent="0.25">
      <c r="A22" s="13" t="s">
        <v>97</v>
      </c>
      <c r="B22" s="6" t="s">
        <v>98</v>
      </c>
      <c r="C22" s="22"/>
      <c r="D22" s="47">
        <v>4</v>
      </c>
      <c r="E22" s="47">
        <v>5</v>
      </c>
      <c r="F22" s="47">
        <v>5</v>
      </c>
      <c r="G22" s="47">
        <v>4</v>
      </c>
      <c r="I22" s="21">
        <f t="shared" si="2"/>
        <v>-0.68002446839729536</v>
      </c>
      <c r="J22" s="21">
        <f t="shared" si="3"/>
        <v>1.0985010643340907</v>
      </c>
      <c r="K22" s="21">
        <f t="shared" si="4"/>
        <v>1.0985010643340907</v>
      </c>
      <c r="L22" s="21">
        <f t="shared" si="5"/>
        <v>-0.68002446839729536</v>
      </c>
    </row>
    <row r="23" spans="1:12" s="21" customFormat="1" x14ac:dyDescent="0.25">
      <c r="A23" s="13" t="s">
        <v>101</v>
      </c>
      <c r="B23" s="6" t="s">
        <v>102</v>
      </c>
      <c r="C23" s="22"/>
      <c r="D23" s="47">
        <v>5</v>
      </c>
      <c r="E23" s="47">
        <v>5</v>
      </c>
      <c r="F23" s="47">
        <v>5</v>
      </c>
      <c r="G23" s="47">
        <v>5</v>
      </c>
      <c r="I23" s="21">
        <f t="shared" si="2"/>
        <v>1.0985010643340907</v>
      </c>
      <c r="J23" s="21">
        <f t="shared" si="3"/>
        <v>1.0985010643340907</v>
      </c>
      <c r="K23" s="21">
        <f t="shared" si="4"/>
        <v>1.0985010643340907</v>
      </c>
      <c r="L23" s="21">
        <f t="shared" si="5"/>
        <v>1.0985010643340907</v>
      </c>
    </row>
    <row r="24" spans="1:12" s="21" customFormat="1" x14ac:dyDescent="0.25">
      <c r="A24" s="13" t="s">
        <v>107</v>
      </c>
      <c r="B24" s="6" t="s">
        <v>108</v>
      </c>
      <c r="C24" s="22"/>
      <c r="D24" s="47">
        <v>5</v>
      </c>
      <c r="E24" s="47">
        <v>4</v>
      </c>
      <c r="F24" s="47">
        <v>5</v>
      </c>
      <c r="G24" s="47">
        <v>5</v>
      </c>
      <c r="I24" s="21">
        <f t="shared" si="2"/>
        <v>1.0985010643340907</v>
      </c>
      <c r="J24" s="21">
        <f t="shared" si="3"/>
        <v>-0.68002446839729536</v>
      </c>
      <c r="K24" s="21">
        <f t="shared" si="4"/>
        <v>1.0985010643340907</v>
      </c>
      <c r="L24" s="21">
        <f t="shared" si="5"/>
        <v>1.0985010643340907</v>
      </c>
    </row>
    <row r="25" spans="1:12" s="21" customFormat="1" x14ac:dyDescent="0.25">
      <c r="A25" s="13" t="s">
        <v>109</v>
      </c>
      <c r="B25" s="6" t="s">
        <v>110</v>
      </c>
      <c r="C25" s="22"/>
      <c r="D25" s="47">
        <v>5</v>
      </c>
      <c r="E25" s="47">
        <v>4</v>
      </c>
      <c r="F25" s="47">
        <v>4</v>
      </c>
      <c r="G25" s="47">
        <v>3</v>
      </c>
      <c r="I25" s="21">
        <f t="shared" si="2"/>
        <v>1.0985010643340907</v>
      </c>
      <c r="J25" s="21">
        <f t="shared" si="3"/>
        <v>-0.68002446839729536</v>
      </c>
      <c r="K25" s="21">
        <f t="shared" si="4"/>
        <v>-0.68002446839729536</v>
      </c>
      <c r="L25" s="21">
        <f t="shared" si="5"/>
        <v>-2.4585500011286814</v>
      </c>
    </row>
    <row r="26" spans="1:12" s="21" customFormat="1" x14ac:dyDescent="0.25">
      <c r="A26" s="13" t="s">
        <v>111</v>
      </c>
      <c r="B26" s="6" t="s">
        <v>112</v>
      </c>
      <c r="C26" s="22"/>
      <c r="D26" s="47">
        <v>5</v>
      </c>
      <c r="E26" s="47">
        <v>5</v>
      </c>
      <c r="F26" s="47">
        <v>5</v>
      </c>
      <c r="G26" s="47">
        <v>5</v>
      </c>
      <c r="I26" s="21">
        <f t="shared" si="2"/>
        <v>1.0985010643340907</v>
      </c>
      <c r="J26" s="21">
        <f t="shared" si="3"/>
        <v>1.0985010643340907</v>
      </c>
      <c r="K26" s="21">
        <f t="shared" si="4"/>
        <v>1.0985010643340907</v>
      </c>
      <c r="L26" s="21">
        <f t="shared" si="5"/>
        <v>1.0985010643340907</v>
      </c>
    </row>
    <row r="27" spans="1:12" s="21" customFormat="1" x14ac:dyDescent="0.25">
      <c r="A27" s="13" t="s">
        <v>121</v>
      </c>
      <c r="B27" s="6" t="s">
        <v>122</v>
      </c>
      <c r="C27" s="22"/>
      <c r="D27" s="47">
        <v>5</v>
      </c>
      <c r="E27" s="47">
        <v>4</v>
      </c>
      <c r="F27" s="47">
        <v>5</v>
      </c>
      <c r="G27" s="47">
        <v>5</v>
      </c>
      <c r="I27" s="21">
        <f t="shared" si="2"/>
        <v>1.0985010643340907</v>
      </c>
      <c r="J27" s="21">
        <f t="shared" si="3"/>
        <v>-0.68002446839729536</v>
      </c>
      <c r="K27" s="21">
        <f t="shared" si="4"/>
        <v>1.0985010643340907</v>
      </c>
      <c r="L27" s="21">
        <f t="shared" si="5"/>
        <v>1.0985010643340907</v>
      </c>
    </row>
    <row r="28" spans="1:12" s="21" customFormat="1" x14ac:dyDescent="0.25">
      <c r="A28" s="13" t="s">
        <v>123</v>
      </c>
      <c r="B28" s="6" t="s">
        <v>124</v>
      </c>
      <c r="C28" s="22"/>
      <c r="D28" s="47">
        <v>4</v>
      </c>
      <c r="E28" s="47">
        <v>4</v>
      </c>
      <c r="F28" s="47">
        <v>4</v>
      </c>
      <c r="G28" s="47">
        <v>4</v>
      </c>
      <c r="I28" s="21">
        <f t="shared" si="2"/>
        <v>-0.68002446839729536</v>
      </c>
      <c r="J28" s="21">
        <f t="shared" si="3"/>
        <v>-0.68002446839729536</v>
      </c>
      <c r="K28" s="21">
        <f t="shared" si="4"/>
        <v>-0.68002446839729536</v>
      </c>
      <c r="L28" s="21">
        <f t="shared" si="5"/>
        <v>-0.68002446839729536</v>
      </c>
    </row>
    <row r="29" spans="1:12" s="21" customFormat="1" x14ac:dyDescent="0.25">
      <c r="A29" s="6" t="s">
        <v>134</v>
      </c>
      <c r="B29" s="6" t="s">
        <v>135</v>
      </c>
      <c r="C29" s="22"/>
      <c r="D29" s="47">
        <v>4</v>
      </c>
      <c r="E29" s="47">
        <v>4</v>
      </c>
      <c r="F29" s="47">
        <v>5</v>
      </c>
      <c r="G29" s="47">
        <v>4</v>
      </c>
      <c r="I29" s="21">
        <f t="shared" si="2"/>
        <v>-0.68002446839729536</v>
      </c>
      <c r="J29" s="21">
        <f t="shared" si="3"/>
        <v>-0.68002446839729536</v>
      </c>
      <c r="K29" s="21">
        <f t="shared" si="4"/>
        <v>1.0985010643340907</v>
      </c>
      <c r="L29" s="21">
        <f t="shared" si="5"/>
        <v>-0.68002446839729536</v>
      </c>
    </row>
    <row r="30" spans="1:12" s="21" customFormat="1" x14ac:dyDescent="0.25">
      <c r="A30" s="6" t="s">
        <v>145</v>
      </c>
      <c r="B30" s="6" t="s">
        <v>146</v>
      </c>
      <c r="C30" s="98">
        <v>42345</v>
      </c>
      <c r="D30" s="47">
        <v>4</v>
      </c>
      <c r="E30" s="47">
        <v>4</v>
      </c>
      <c r="F30" s="47">
        <v>4</v>
      </c>
      <c r="G30" s="47">
        <v>3</v>
      </c>
      <c r="I30" s="21">
        <f t="shared" si="2"/>
        <v>-0.68002446839729536</v>
      </c>
      <c r="J30" s="21">
        <f t="shared" si="3"/>
        <v>-0.68002446839729536</v>
      </c>
      <c r="K30" s="21">
        <f t="shared" si="4"/>
        <v>-0.68002446839729536</v>
      </c>
      <c r="L30" s="21">
        <f t="shared" si="5"/>
        <v>-2.4585500011286814</v>
      </c>
    </row>
    <row r="31" spans="1:12" s="21" customFormat="1" x14ac:dyDescent="0.25">
      <c r="A31" s="6" t="s">
        <v>153</v>
      </c>
      <c r="B31" s="6" t="s">
        <v>154</v>
      </c>
      <c r="C31" s="98">
        <v>42340</v>
      </c>
      <c r="D31" s="47">
        <v>4</v>
      </c>
      <c r="E31" s="47">
        <v>4</v>
      </c>
      <c r="F31" s="47">
        <v>5</v>
      </c>
      <c r="G31" s="47">
        <v>3</v>
      </c>
      <c r="I31" s="21">
        <f t="shared" si="2"/>
        <v>-0.68002446839729536</v>
      </c>
      <c r="J31" s="21">
        <f t="shared" si="3"/>
        <v>-0.68002446839729536</v>
      </c>
      <c r="K31" s="21">
        <f t="shared" si="4"/>
        <v>1.0985010643340907</v>
      </c>
      <c r="L31" s="21">
        <f t="shared" si="5"/>
        <v>-2.4585500011286814</v>
      </c>
    </row>
    <row r="32" spans="1:12" s="21" customFormat="1" x14ac:dyDescent="0.25">
      <c r="A32" s="6" t="s">
        <v>163</v>
      </c>
      <c r="B32" s="6" t="s">
        <v>162</v>
      </c>
      <c r="C32" s="98">
        <v>42343</v>
      </c>
      <c r="D32" s="47">
        <v>4</v>
      </c>
      <c r="E32" s="47">
        <v>5</v>
      </c>
      <c r="F32" s="47">
        <v>4</v>
      </c>
      <c r="G32" s="47">
        <v>5</v>
      </c>
      <c r="I32" s="21">
        <f t="shared" si="2"/>
        <v>-0.68002446839729536</v>
      </c>
      <c r="J32" s="21">
        <f t="shared" si="3"/>
        <v>1.0985010643340907</v>
      </c>
      <c r="K32" s="21">
        <f t="shared" si="4"/>
        <v>-0.68002446839729536</v>
      </c>
      <c r="L32" s="21">
        <f t="shared" si="5"/>
        <v>1.0985010643340907</v>
      </c>
    </row>
    <row r="33" spans="1:12" s="21" customFormat="1" x14ac:dyDescent="0.25">
      <c r="A33" s="6" t="s">
        <v>166</v>
      </c>
      <c r="B33" s="6" t="s">
        <v>167</v>
      </c>
      <c r="C33" s="98">
        <v>42350</v>
      </c>
      <c r="D33" s="47">
        <v>5</v>
      </c>
      <c r="E33" s="47">
        <v>5</v>
      </c>
      <c r="F33" s="47">
        <v>5</v>
      </c>
      <c r="G33" s="47">
        <v>5</v>
      </c>
      <c r="I33" s="21">
        <f t="shared" si="2"/>
        <v>1.0985010643340907</v>
      </c>
      <c r="J33" s="21">
        <f t="shared" si="3"/>
        <v>1.0985010643340907</v>
      </c>
      <c r="K33" s="21">
        <f t="shared" si="4"/>
        <v>1.0985010643340907</v>
      </c>
      <c r="L33" s="21">
        <f t="shared" si="5"/>
        <v>1.0985010643340907</v>
      </c>
    </row>
    <row r="34" spans="1:12" s="21" customFormat="1" x14ac:dyDescent="0.25">
      <c r="A34" s="6" t="s">
        <v>164</v>
      </c>
      <c r="B34" s="6" t="s">
        <v>165</v>
      </c>
      <c r="C34" s="98">
        <v>42351</v>
      </c>
      <c r="D34" s="47">
        <v>5</v>
      </c>
      <c r="E34" s="47">
        <v>4</v>
      </c>
      <c r="F34" s="47">
        <v>5</v>
      </c>
      <c r="G34" s="47">
        <v>5</v>
      </c>
      <c r="I34" s="21">
        <f t="shared" si="2"/>
        <v>1.0985010643340907</v>
      </c>
      <c r="J34" s="21">
        <f t="shared" si="3"/>
        <v>-0.68002446839729536</v>
      </c>
      <c r="K34" s="21">
        <f t="shared" si="4"/>
        <v>1.0985010643340907</v>
      </c>
      <c r="L34" s="21">
        <f t="shared" si="5"/>
        <v>1.0985010643340907</v>
      </c>
    </row>
    <row r="35" spans="1:12" s="21" customFormat="1" x14ac:dyDescent="0.25">
      <c r="B35" s="25"/>
      <c r="C35" s="25"/>
    </row>
    <row r="36" spans="1:12" s="21" customFormat="1" x14ac:dyDescent="0.25">
      <c r="A36" s="19" t="s">
        <v>1</v>
      </c>
      <c r="B36" s="25"/>
      <c r="C36" s="25"/>
    </row>
    <row r="37" spans="1:12" s="21" customFormat="1" x14ac:dyDescent="0.25">
      <c r="A37" s="13" t="s">
        <v>23</v>
      </c>
      <c r="B37" s="6" t="s">
        <v>24</v>
      </c>
      <c r="C37" s="22"/>
      <c r="D37" s="47">
        <v>5</v>
      </c>
      <c r="E37" s="47">
        <v>5</v>
      </c>
      <c r="F37" s="47">
        <v>5</v>
      </c>
      <c r="G37" s="47">
        <v>5</v>
      </c>
      <c r="I37" s="21">
        <f t="shared" si="2"/>
        <v>1.0985010643340907</v>
      </c>
      <c r="J37" s="21">
        <f t="shared" si="3"/>
        <v>1.0985010643340907</v>
      </c>
      <c r="K37" s="21">
        <f t="shared" si="4"/>
        <v>1.0985010643340907</v>
      </c>
      <c r="L37" s="21">
        <f t="shared" si="5"/>
        <v>1.0985010643340907</v>
      </c>
    </row>
    <row r="38" spans="1:12" s="21" customFormat="1" x14ac:dyDescent="0.25">
      <c r="A38" s="13" t="s">
        <v>25</v>
      </c>
      <c r="B38" s="6" t="s">
        <v>26</v>
      </c>
      <c r="C38" s="22"/>
      <c r="D38" s="47">
        <v>5</v>
      </c>
      <c r="E38" s="47">
        <v>4</v>
      </c>
      <c r="F38" s="47">
        <v>4</v>
      </c>
      <c r="G38" s="47">
        <v>4</v>
      </c>
      <c r="I38" s="21">
        <f t="shared" si="2"/>
        <v>1.0985010643340907</v>
      </c>
      <c r="J38" s="21">
        <f t="shared" si="3"/>
        <v>-0.68002446839729536</v>
      </c>
      <c r="K38" s="21">
        <f t="shared" si="4"/>
        <v>-0.68002446839729536</v>
      </c>
      <c r="L38" s="21">
        <f t="shared" si="5"/>
        <v>-0.68002446839729536</v>
      </c>
    </row>
    <row r="39" spans="1:12" s="21" customFormat="1" x14ac:dyDescent="0.25">
      <c r="A39" s="13" t="s">
        <v>27</v>
      </c>
      <c r="B39" s="6" t="s">
        <v>28</v>
      </c>
      <c r="C39" s="22"/>
      <c r="D39" s="47">
        <v>5</v>
      </c>
      <c r="E39" s="47">
        <v>4</v>
      </c>
      <c r="F39" s="47">
        <v>4</v>
      </c>
      <c r="G39" s="47">
        <v>4</v>
      </c>
      <c r="I39" s="21">
        <f t="shared" si="2"/>
        <v>1.0985010643340907</v>
      </c>
      <c r="J39" s="21">
        <f t="shared" si="3"/>
        <v>-0.68002446839729536</v>
      </c>
      <c r="K39" s="21">
        <f t="shared" si="4"/>
        <v>-0.68002446839729536</v>
      </c>
      <c r="L39" s="21">
        <f t="shared" si="5"/>
        <v>-0.68002446839729536</v>
      </c>
    </row>
    <row r="40" spans="1:12" s="21" customFormat="1" ht="31.5" x14ac:dyDescent="0.25">
      <c r="A40" s="13" t="s">
        <v>48</v>
      </c>
      <c r="B40" s="6" t="s">
        <v>49</v>
      </c>
      <c r="C40" s="22"/>
      <c r="D40" s="47">
        <v>5</v>
      </c>
      <c r="E40" s="47">
        <v>4</v>
      </c>
      <c r="F40" s="47">
        <v>4</v>
      </c>
      <c r="G40" s="47">
        <v>4</v>
      </c>
      <c r="I40" s="21">
        <f t="shared" si="2"/>
        <v>1.0985010643340907</v>
      </c>
      <c r="J40" s="21">
        <f t="shared" si="3"/>
        <v>-0.68002446839729536</v>
      </c>
      <c r="K40" s="21">
        <f t="shared" si="4"/>
        <v>-0.68002446839729536</v>
      </c>
      <c r="L40" s="21">
        <f t="shared" si="5"/>
        <v>-0.68002446839729536</v>
      </c>
    </row>
    <row r="41" spans="1:12" s="21" customFormat="1" x14ac:dyDescent="0.25">
      <c r="A41" s="13" t="s">
        <v>76</v>
      </c>
      <c r="B41" s="6" t="s">
        <v>77</v>
      </c>
      <c r="C41" s="22"/>
      <c r="D41" s="47">
        <v>4</v>
      </c>
      <c r="E41" s="47">
        <v>4</v>
      </c>
      <c r="F41" s="47">
        <v>4</v>
      </c>
      <c r="G41" s="47">
        <v>5</v>
      </c>
      <c r="I41" s="21">
        <f t="shared" si="2"/>
        <v>-0.68002446839729536</v>
      </c>
      <c r="J41" s="21">
        <f t="shared" si="3"/>
        <v>-0.68002446839729536</v>
      </c>
      <c r="K41" s="21">
        <f t="shared" si="4"/>
        <v>-0.68002446839729536</v>
      </c>
      <c r="L41" s="21">
        <f t="shared" si="5"/>
        <v>1.0985010643340907</v>
      </c>
    </row>
    <row r="42" spans="1:12" s="21" customFormat="1" x14ac:dyDescent="0.25">
      <c r="A42" s="13" t="s">
        <v>91</v>
      </c>
      <c r="B42" s="6" t="s">
        <v>92</v>
      </c>
      <c r="C42" s="22"/>
      <c r="D42" s="47">
        <v>5</v>
      </c>
      <c r="E42" s="47">
        <v>5</v>
      </c>
      <c r="F42" s="47">
        <v>5</v>
      </c>
      <c r="G42" s="47">
        <v>5</v>
      </c>
      <c r="I42" s="21">
        <f t="shared" si="2"/>
        <v>1.0985010643340907</v>
      </c>
      <c r="J42" s="21">
        <f t="shared" si="3"/>
        <v>1.0985010643340907</v>
      </c>
      <c r="K42" s="21">
        <f t="shared" si="4"/>
        <v>1.0985010643340907</v>
      </c>
      <c r="L42" s="21">
        <f t="shared" si="5"/>
        <v>1.0985010643340907</v>
      </c>
    </row>
    <row r="43" spans="1:12" s="21" customFormat="1" x14ac:dyDescent="0.25">
      <c r="A43" s="13" t="s">
        <v>95</v>
      </c>
      <c r="B43" s="6" t="s">
        <v>96</v>
      </c>
      <c r="C43" s="22"/>
      <c r="D43" s="47">
        <v>5</v>
      </c>
      <c r="E43" s="47">
        <v>4</v>
      </c>
      <c r="F43" s="47">
        <v>4</v>
      </c>
      <c r="G43" s="47">
        <v>4</v>
      </c>
      <c r="I43" s="21">
        <f t="shared" si="2"/>
        <v>1.0985010643340907</v>
      </c>
      <c r="J43" s="21">
        <f t="shared" si="3"/>
        <v>-0.68002446839729536</v>
      </c>
      <c r="K43" s="21">
        <f t="shared" si="4"/>
        <v>-0.68002446839729536</v>
      </c>
      <c r="L43" s="21">
        <f t="shared" si="5"/>
        <v>-0.68002446839729536</v>
      </c>
    </row>
    <row r="44" spans="1:12" s="21" customFormat="1" x14ac:dyDescent="0.25">
      <c r="A44" s="13" t="s">
        <v>115</v>
      </c>
      <c r="B44" s="6" t="s">
        <v>116</v>
      </c>
      <c r="C44" s="22"/>
      <c r="D44" s="47">
        <v>5</v>
      </c>
      <c r="E44" s="47">
        <v>5</v>
      </c>
      <c r="F44" s="47">
        <v>5</v>
      </c>
      <c r="G44" s="47">
        <v>5</v>
      </c>
      <c r="I44" s="21">
        <f t="shared" si="2"/>
        <v>1.0985010643340907</v>
      </c>
      <c r="J44" s="21">
        <f t="shared" si="3"/>
        <v>1.0985010643340907</v>
      </c>
      <c r="K44" s="21">
        <f t="shared" si="4"/>
        <v>1.0985010643340907</v>
      </c>
      <c r="L44" s="21">
        <f t="shared" si="5"/>
        <v>1.0985010643340907</v>
      </c>
    </row>
    <row r="45" spans="1:12" s="21" customFormat="1" x14ac:dyDescent="0.25">
      <c r="A45" s="13" t="s">
        <v>117</v>
      </c>
      <c r="B45" s="6" t="s">
        <v>118</v>
      </c>
      <c r="C45" s="22"/>
      <c r="D45" s="47">
        <v>4</v>
      </c>
      <c r="E45" s="47">
        <v>4</v>
      </c>
      <c r="F45" s="47">
        <v>4</v>
      </c>
      <c r="G45" s="47">
        <v>4</v>
      </c>
      <c r="I45" s="21">
        <f t="shared" si="2"/>
        <v>-0.68002446839729536</v>
      </c>
      <c r="J45" s="21">
        <f t="shared" si="3"/>
        <v>-0.68002446839729536</v>
      </c>
      <c r="K45" s="21">
        <f t="shared" si="4"/>
        <v>-0.68002446839729536</v>
      </c>
      <c r="L45" s="21">
        <f t="shared" si="5"/>
        <v>-0.68002446839729536</v>
      </c>
    </row>
    <row r="46" spans="1:12" s="21" customFormat="1" x14ac:dyDescent="0.25">
      <c r="A46" s="6" t="s">
        <v>136</v>
      </c>
      <c r="B46" s="6" t="s">
        <v>137</v>
      </c>
      <c r="C46" s="98">
        <v>42340</v>
      </c>
      <c r="D46" s="47">
        <v>4</v>
      </c>
      <c r="E46" s="47">
        <v>4</v>
      </c>
      <c r="F46" s="47">
        <v>4</v>
      </c>
      <c r="G46" s="47">
        <v>4</v>
      </c>
      <c r="I46" s="21">
        <f t="shared" si="2"/>
        <v>-0.68002446839729536</v>
      </c>
      <c r="J46" s="21">
        <f t="shared" si="3"/>
        <v>-0.68002446839729536</v>
      </c>
      <c r="K46" s="21">
        <f t="shared" si="4"/>
        <v>-0.68002446839729536</v>
      </c>
      <c r="L46" s="21">
        <f t="shared" si="5"/>
        <v>-0.68002446839729536</v>
      </c>
    </row>
    <row r="47" spans="1:12" s="21" customFormat="1" x14ac:dyDescent="0.25">
      <c r="A47" s="6"/>
      <c r="B47" s="6"/>
    </row>
    <row r="48" spans="1:12" s="21" customFormat="1" x14ac:dyDescent="0.25">
      <c r="A48" s="19" t="s">
        <v>2</v>
      </c>
      <c r="B48" s="25"/>
      <c r="C48" s="25"/>
    </row>
    <row r="49" spans="1:12" s="21" customFormat="1" x14ac:dyDescent="0.25">
      <c r="A49" s="13" t="s">
        <v>40</v>
      </c>
      <c r="B49" s="6" t="s">
        <v>41</v>
      </c>
      <c r="C49" s="22"/>
      <c r="D49" s="47">
        <v>5</v>
      </c>
      <c r="E49" s="47">
        <v>4</v>
      </c>
      <c r="F49" s="47">
        <v>4</v>
      </c>
      <c r="G49" s="47">
        <v>3</v>
      </c>
      <c r="I49" s="21">
        <f t="shared" si="2"/>
        <v>1.0985010643340907</v>
      </c>
      <c r="J49" s="21">
        <f t="shared" si="3"/>
        <v>-0.68002446839729536</v>
      </c>
      <c r="K49" s="21">
        <f t="shared" si="4"/>
        <v>-0.68002446839729536</v>
      </c>
      <c r="L49" s="21">
        <f t="shared" si="5"/>
        <v>-2.4585500011286814</v>
      </c>
    </row>
    <row r="50" spans="1:12" s="21" customFormat="1" x14ac:dyDescent="0.25">
      <c r="A50" s="13" t="s">
        <v>64</v>
      </c>
      <c r="B50" s="6" t="s">
        <v>65</v>
      </c>
      <c r="C50" s="22"/>
      <c r="D50" s="47">
        <v>4</v>
      </c>
      <c r="E50" s="47">
        <v>4</v>
      </c>
      <c r="F50" s="47">
        <v>5</v>
      </c>
      <c r="G50" s="47">
        <v>5</v>
      </c>
      <c r="I50" s="21">
        <f t="shared" si="2"/>
        <v>-0.68002446839729536</v>
      </c>
      <c r="J50" s="21">
        <f t="shared" si="3"/>
        <v>-0.68002446839729536</v>
      </c>
      <c r="K50" s="21">
        <f t="shared" si="4"/>
        <v>1.0985010643340907</v>
      </c>
      <c r="L50" s="21">
        <f t="shared" si="5"/>
        <v>1.0985010643340907</v>
      </c>
    </row>
    <row r="51" spans="1:12" s="21" customFormat="1" x14ac:dyDescent="0.25">
      <c r="A51" s="13" t="s">
        <v>99</v>
      </c>
      <c r="B51" s="6" t="s">
        <v>100</v>
      </c>
      <c r="C51" s="22"/>
      <c r="D51" s="47">
        <v>4</v>
      </c>
      <c r="E51" s="47">
        <v>4</v>
      </c>
      <c r="F51" s="47">
        <v>4</v>
      </c>
      <c r="G51" s="47">
        <v>4</v>
      </c>
      <c r="I51" s="21">
        <f t="shared" si="2"/>
        <v>-0.68002446839729536</v>
      </c>
      <c r="J51" s="21">
        <f t="shared" si="3"/>
        <v>-0.68002446839729536</v>
      </c>
      <c r="K51" s="21">
        <f t="shared" si="4"/>
        <v>-0.68002446839729536</v>
      </c>
      <c r="L51" s="21">
        <f t="shared" si="5"/>
        <v>-0.68002446839729536</v>
      </c>
    </row>
    <row r="52" spans="1:12" s="21" customFormat="1" x14ac:dyDescent="0.25">
      <c r="A52" s="13" t="s">
        <v>103</v>
      </c>
      <c r="B52" s="6" t="s">
        <v>104</v>
      </c>
      <c r="C52" s="22"/>
      <c r="D52" s="47">
        <v>4</v>
      </c>
      <c r="E52" s="47">
        <v>4</v>
      </c>
      <c r="F52" s="47">
        <v>4</v>
      </c>
      <c r="G52" s="47">
        <v>3</v>
      </c>
      <c r="I52" s="21">
        <f t="shared" si="2"/>
        <v>-0.68002446839729536</v>
      </c>
      <c r="J52" s="21">
        <f t="shared" si="3"/>
        <v>-0.68002446839729536</v>
      </c>
      <c r="K52" s="21">
        <f t="shared" si="4"/>
        <v>-0.68002446839729536</v>
      </c>
      <c r="L52" s="21">
        <f t="shared" si="5"/>
        <v>-2.4585500011286814</v>
      </c>
    </row>
    <row r="53" spans="1:12" s="21" customFormat="1" ht="31.5" x14ac:dyDescent="0.25">
      <c r="A53" s="13" t="s">
        <v>113</v>
      </c>
      <c r="B53" s="6" t="s">
        <v>114</v>
      </c>
      <c r="C53" s="22"/>
      <c r="D53" s="47">
        <v>4</v>
      </c>
      <c r="E53" s="47">
        <v>4</v>
      </c>
      <c r="F53" s="47">
        <v>4</v>
      </c>
      <c r="G53" s="47">
        <v>4</v>
      </c>
      <c r="I53" s="21">
        <f t="shared" si="2"/>
        <v>-0.68002446839729536</v>
      </c>
      <c r="J53" s="21">
        <f t="shared" si="3"/>
        <v>-0.68002446839729536</v>
      </c>
      <c r="K53" s="21">
        <f t="shared" si="4"/>
        <v>-0.68002446839729536</v>
      </c>
      <c r="L53" s="21">
        <f t="shared" si="5"/>
        <v>-0.68002446839729536</v>
      </c>
    </row>
    <row r="54" spans="1:12" s="21" customFormat="1" ht="31.5" x14ac:dyDescent="0.25">
      <c r="A54" s="13" t="s">
        <v>119</v>
      </c>
      <c r="B54" s="6" t="s">
        <v>120</v>
      </c>
      <c r="C54" s="22"/>
      <c r="D54" s="47">
        <v>4</v>
      </c>
      <c r="E54" s="47">
        <v>4</v>
      </c>
      <c r="F54" s="47">
        <v>5</v>
      </c>
      <c r="G54" s="47">
        <v>5</v>
      </c>
      <c r="I54" s="21">
        <f t="shared" si="2"/>
        <v>-0.68002446839729536</v>
      </c>
      <c r="J54" s="21">
        <f t="shared" si="3"/>
        <v>-0.68002446839729536</v>
      </c>
      <c r="K54" s="21">
        <f t="shared" si="4"/>
        <v>1.0985010643340907</v>
      </c>
      <c r="L54" s="21">
        <f t="shared" si="5"/>
        <v>1.0985010643340907</v>
      </c>
    </row>
    <row r="55" spans="1:12" s="21" customFormat="1" x14ac:dyDescent="0.25">
      <c r="A55" s="6" t="s">
        <v>161</v>
      </c>
      <c r="B55" s="6" t="s">
        <v>162</v>
      </c>
      <c r="C55" s="98">
        <v>42344</v>
      </c>
      <c r="D55" s="47">
        <v>4</v>
      </c>
      <c r="E55" s="47">
        <v>5</v>
      </c>
      <c r="F55" s="47">
        <v>4</v>
      </c>
      <c r="G55" s="47">
        <v>5</v>
      </c>
      <c r="I55" s="21">
        <f t="shared" si="2"/>
        <v>-0.68002446839729536</v>
      </c>
      <c r="J55" s="21">
        <f t="shared" si="3"/>
        <v>1.0985010643340907</v>
      </c>
      <c r="K55" s="21">
        <f t="shared" si="4"/>
        <v>-0.68002446839729536</v>
      </c>
      <c r="L55" s="21">
        <f t="shared" si="5"/>
        <v>1.0985010643340907</v>
      </c>
    </row>
    <row r="56" spans="1:12" s="21" customFormat="1" x14ac:dyDescent="0.25"/>
    <row r="57" spans="1:12" s="21" customFormat="1" x14ac:dyDescent="0.25">
      <c r="A57" s="19" t="s">
        <v>18</v>
      </c>
      <c r="B57" s="25"/>
      <c r="C57" s="25"/>
    </row>
    <row r="58" spans="1:12" s="21" customFormat="1" ht="31.5" x14ac:dyDescent="0.25">
      <c r="A58" s="13" t="s">
        <v>29</v>
      </c>
      <c r="B58" s="6" t="s">
        <v>30</v>
      </c>
      <c r="C58" s="22"/>
    </row>
    <row r="59" spans="1:12" s="21" customFormat="1" x14ac:dyDescent="0.25">
      <c r="A59" s="13" t="s">
        <v>66</v>
      </c>
      <c r="B59" s="6" t="s">
        <v>24</v>
      </c>
      <c r="C59" s="22"/>
    </row>
    <row r="60" spans="1:12" s="21" customFormat="1" x14ac:dyDescent="0.25">
      <c r="A60" s="13" t="s">
        <v>67</v>
      </c>
      <c r="B60" s="6" t="s">
        <v>55</v>
      </c>
      <c r="C60" s="22"/>
    </row>
    <row r="61" spans="1:12" s="21" customFormat="1" x14ac:dyDescent="0.25">
      <c r="A61" s="13" t="s">
        <v>89</v>
      </c>
      <c r="B61" s="6" t="s">
        <v>90</v>
      </c>
      <c r="C61" s="22"/>
    </row>
    <row r="62" spans="1:12" s="21" customFormat="1" x14ac:dyDescent="0.25">
      <c r="A62" s="13" t="s">
        <v>125</v>
      </c>
      <c r="B62" s="6" t="s">
        <v>126</v>
      </c>
      <c r="C62" s="22"/>
    </row>
    <row r="63" spans="1:12" s="21" customFormat="1" x14ac:dyDescent="0.25">
      <c r="A63" s="13" t="s">
        <v>127</v>
      </c>
      <c r="B63" s="6" t="s">
        <v>128</v>
      </c>
      <c r="C63" s="22"/>
    </row>
    <row r="64" spans="1:12" s="21" customFormat="1" x14ac:dyDescent="0.25">
      <c r="A64" s="13" t="s">
        <v>129</v>
      </c>
      <c r="B64" s="6" t="s">
        <v>130</v>
      </c>
      <c r="C64" s="22"/>
    </row>
    <row r="65" spans="1:12" s="21" customFormat="1" x14ac:dyDescent="0.25">
      <c r="A65" s="6" t="s">
        <v>138</v>
      </c>
      <c r="B65" s="6" t="s">
        <v>139</v>
      </c>
      <c r="C65" s="98">
        <v>42349</v>
      </c>
    </row>
    <row r="66" spans="1:12" s="21" customFormat="1" x14ac:dyDescent="0.25">
      <c r="A66" s="6" t="s">
        <v>140</v>
      </c>
      <c r="B66" s="6" t="s">
        <v>141</v>
      </c>
      <c r="C66" s="22"/>
    </row>
    <row r="67" spans="1:12" s="21" customFormat="1" x14ac:dyDescent="0.25">
      <c r="A67" s="6" t="s">
        <v>151</v>
      </c>
      <c r="B67" s="6" t="s">
        <v>152</v>
      </c>
      <c r="C67" s="98">
        <v>42341</v>
      </c>
    </row>
    <row r="68" spans="1:12" s="21" customFormat="1" x14ac:dyDescent="0.25">
      <c r="A68" s="6" t="s">
        <v>157</v>
      </c>
      <c r="B68" s="6" t="s">
        <v>158</v>
      </c>
      <c r="C68" s="98">
        <v>42341</v>
      </c>
    </row>
    <row r="69" spans="1:12" s="21" customFormat="1" x14ac:dyDescent="0.25">
      <c r="A69" s="6" t="s">
        <v>159</v>
      </c>
      <c r="B69" s="6" t="s">
        <v>160</v>
      </c>
      <c r="C69" s="98">
        <v>42346</v>
      </c>
    </row>
    <row r="70" spans="1:12" s="21" customFormat="1" x14ac:dyDescent="0.25">
      <c r="A70" s="6" t="s">
        <v>168</v>
      </c>
      <c r="B70" s="6" t="s">
        <v>169</v>
      </c>
      <c r="C70" s="98">
        <v>42350</v>
      </c>
    </row>
    <row r="71" spans="1:12" s="21" customFormat="1" x14ac:dyDescent="0.25">
      <c r="A71" s="6"/>
      <c r="B71" s="6"/>
      <c r="C71" s="22"/>
    </row>
    <row r="72" spans="1:12" s="21" customFormat="1" x14ac:dyDescent="0.25">
      <c r="A72" s="19" t="s">
        <v>19</v>
      </c>
      <c r="B72" s="22"/>
      <c r="C72" s="22"/>
    </row>
    <row r="73" spans="1:12" s="21" customFormat="1" x14ac:dyDescent="0.25">
      <c r="A73" s="13" t="s">
        <v>46</v>
      </c>
      <c r="B73" s="6" t="s">
        <v>47</v>
      </c>
      <c r="C73" s="22"/>
      <c r="D73" s="21">
        <v>4</v>
      </c>
      <c r="E73" s="21">
        <v>4</v>
      </c>
      <c r="F73" s="21">
        <v>3</v>
      </c>
      <c r="G73" s="47">
        <v>4</v>
      </c>
      <c r="I73" s="21">
        <f t="shared" ref="I73:I78" si="6">STANDARDIZE(D73,$I$1,$K$1)</f>
        <v>-0.68002446839729536</v>
      </c>
      <c r="J73" s="21">
        <f t="shared" ref="J73:J78" si="7">STANDARDIZE(E73,$I$1,$K$1)</f>
        <v>-0.68002446839729536</v>
      </c>
      <c r="K73" s="21">
        <f t="shared" ref="K73:K78" si="8">STANDARDIZE(F73,$I$1,$K$1)</f>
        <v>-2.4585500011286814</v>
      </c>
      <c r="L73" s="21">
        <f t="shared" ref="L73:L78" si="9">STANDARDIZE(G73,$I$1,$K$1)</f>
        <v>-0.68002446839729536</v>
      </c>
    </row>
    <row r="74" spans="1:12" s="21" customFormat="1" x14ac:dyDescent="0.25">
      <c r="A74" s="6" t="s">
        <v>142</v>
      </c>
      <c r="B74" s="6" t="s">
        <v>143</v>
      </c>
      <c r="C74" s="98">
        <v>42342</v>
      </c>
      <c r="D74" s="21">
        <v>4</v>
      </c>
      <c r="E74" s="21">
        <v>4</v>
      </c>
      <c r="F74" s="21">
        <v>5</v>
      </c>
      <c r="G74" s="47">
        <v>5</v>
      </c>
      <c r="I74" s="21">
        <f t="shared" si="6"/>
        <v>-0.68002446839729536</v>
      </c>
      <c r="J74" s="21">
        <f t="shared" si="7"/>
        <v>-0.68002446839729536</v>
      </c>
      <c r="K74" s="21">
        <f t="shared" si="8"/>
        <v>1.0985010643340907</v>
      </c>
      <c r="L74" s="21">
        <f t="shared" si="9"/>
        <v>1.0985010643340907</v>
      </c>
    </row>
    <row r="75" spans="1:12" s="21" customFormat="1" x14ac:dyDescent="0.25">
      <c r="A75" s="6" t="s">
        <v>144</v>
      </c>
      <c r="B75" s="6" t="s">
        <v>55</v>
      </c>
      <c r="C75" s="98">
        <v>42344</v>
      </c>
      <c r="D75" s="21">
        <v>5</v>
      </c>
      <c r="E75" s="21">
        <v>5</v>
      </c>
      <c r="F75" s="21">
        <v>4</v>
      </c>
      <c r="G75" s="47">
        <v>4</v>
      </c>
      <c r="I75" s="21">
        <f t="shared" si="6"/>
        <v>1.0985010643340907</v>
      </c>
      <c r="J75" s="21">
        <f t="shared" si="7"/>
        <v>1.0985010643340907</v>
      </c>
      <c r="K75" s="21">
        <f t="shared" si="8"/>
        <v>-0.68002446839729536</v>
      </c>
      <c r="L75" s="21">
        <f t="shared" si="9"/>
        <v>-0.68002446839729536</v>
      </c>
    </row>
    <row r="76" spans="1:12" s="21" customFormat="1" x14ac:dyDescent="0.25">
      <c r="A76" s="6" t="s">
        <v>147</v>
      </c>
      <c r="B76" s="6" t="s">
        <v>148</v>
      </c>
      <c r="C76" s="98">
        <v>42347</v>
      </c>
      <c r="D76" s="47">
        <v>4</v>
      </c>
      <c r="E76" s="47">
        <v>4</v>
      </c>
      <c r="F76" s="47">
        <v>5</v>
      </c>
      <c r="G76" s="47">
        <v>4</v>
      </c>
      <c r="I76" s="21">
        <f t="shared" si="6"/>
        <v>-0.68002446839729536</v>
      </c>
      <c r="J76" s="21">
        <f t="shared" si="7"/>
        <v>-0.68002446839729536</v>
      </c>
      <c r="K76" s="21">
        <f t="shared" si="8"/>
        <v>1.0985010643340907</v>
      </c>
      <c r="L76" s="21">
        <f t="shared" si="9"/>
        <v>-0.68002446839729536</v>
      </c>
    </row>
    <row r="77" spans="1:12" s="21" customFormat="1" x14ac:dyDescent="0.25">
      <c r="A77" s="6" t="s">
        <v>149</v>
      </c>
      <c r="B77" s="6" t="s">
        <v>150</v>
      </c>
      <c r="C77" s="98">
        <v>42346</v>
      </c>
      <c r="D77" s="47">
        <v>4</v>
      </c>
      <c r="E77" s="47">
        <v>4</v>
      </c>
      <c r="F77" s="47">
        <v>4</v>
      </c>
      <c r="G77" s="47">
        <v>4</v>
      </c>
      <c r="I77" s="21">
        <f t="shared" si="6"/>
        <v>-0.68002446839729536</v>
      </c>
      <c r="J77" s="21">
        <f t="shared" si="7"/>
        <v>-0.68002446839729536</v>
      </c>
      <c r="K77" s="21">
        <f t="shared" si="8"/>
        <v>-0.68002446839729536</v>
      </c>
      <c r="L77" s="21">
        <f t="shared" si="9"/>
        <v>-0.68002446839729536</v>
      </c>
    </row>
    <row r="78" spans="1:12" s="21" customFormat="1" x14ac:dyDescent="0.25">
      <c r="A78" s="6" t="s">
        <v>155</v>
      </c>
      <c r="B78" s="6" t="s">
        <v>156</v>
      </c>
      <c r="C78" s="98">
        <v>42348</v>
      </c>
      <c r="D78" s="47">
        <v>5</v>
      </c>
      <c r="E78" s="47">
        <v>5</v>
      </c>
      <c r="F78" s="47">
        <v>5</v>
      </c>
      <c r="G78" s="47">
        <v>5</v>
      </c>
      <c r="I78" s="21">
        <f t="shared" si="6"/>
        <v>1.0985010643340907</v>
      </c>
      <c r="J78" s="21">
        <f t="shared" si="7"/>
        <v>1.0985010643340907</v>
      </c>
      <c r="K78" s="21">
        <f t="shared" si="8"/>
        <v>1.0985010643340907</v>
      </c>
      <c r="L78" s="21">
        <f t="shared" si="9"/>
        <v>1.0985010643340907</v>
      </c>
    </row>
    <row r="79" spans="1:12" s="21" customFormat="1" x14ac:dyDescent="0.25">
      <c r="A79" s="22"/>
      <c r="B79" s="22"/>
      <c r="C79" s="22"/>
    </row>
    <row r="80" spans="1:12" s="21" customFormat="1" x14ac:dyDescent="0.25">
      <c r="A80" s="19" t="s">
        <v>20</v>
      </c>
      <c r="B80" s="22"/>
      <c r="C80" s="22"/>
    </row>
    <row r="81" spans="1:7" s="21" customFormat="1" x14ac:dyDescent="0.25">
      <c r="A81" s="13" t="s">
        <v>34</v>
      </c>
      <c r="B81" s="6" t="s">
        <v>35</v>
      </c>
      <c r="C81" s="22"/>
    </row>
    <row r="82" spans="1:7" s="21" customFormat="1" x14ac:dyDescent="0.25">
      <c r="A82" s="13" t="s">
        <v>52</v>
      </c>
      <c r="B82" s="6" t="s">
        <v>53</v>
      </c>
      <c r="C82" s="22"/>
    </row>
    <row r="83" spans="1:7" s="21" customFormat="1" x14ac:dyDescent="0.25">
      <c r="A83" s="13" t="s">
        <v>58</v>
      </c>
      <c r="B83" s="6" t="s">
        <v>59</v>
      </c>
      <c r="C83" s="22"/>
    </row>
    <row r="84" spans="1:7" s="21" customFormat="1" x14ac:dyDescent="0.25">
      <c r="A84" s="13" t="s">
        <v>62</v>
      </c>
      <c r="B84" s="6" t="s">
        <v>63</v>
      </c>
      <c r="C84" s="22"/>
    </row>
    <row r="85" spans="1:7" s="21" customFormat="1" x14ac:dyDescent="0.25">
      <c r="A85" s="13" t="s">
        <v>68</v>
      </c>
      <c r="B85" s="6" t="s">
        <v>69</v>
      </c>
      <c r="C85" s="22"/>
    </row>
    <row r="86" spans="1:7" s="21" customFormat="1" x14ac:dyDescent="0.25">
      <c r="A86" s="13" t="s">
        <v>72</v>
      </c>
      <c r="B86" s="6" t="s">
        <v>73</v>
      </c>
      <c r="C86" s="22"/>
    </row>
    <row r="87" spans="1:7" s="21" customFormat="1" x14ac:dyDescent="0.25">
      <c r="A87" s="13" t="s">
        <v>74</v>
      </c>
      <c r="B87" s="6" t="s">
        <v>75</v>
      </c>
      <c r="C87" s="22"/>
    </row>
    <row r="88" spans="1:7" s="21" customFormat="1" x14ac:dyDescent="0.25">
      <c r="A88" s="13" t="s">
        <v>83</v>
      </c>
      <c r="B88" s="6" t="s">
        <v>84</v>
      </c>
      <c r="C88" s="22"/>
    </row>
    <row r="89" spans="1:7" s="21" customFormat="1" x14ac:dyDescent="0.25">
      <c r="A89" s="13" t="s">
        <v>87</v>
      </c>
      <c r="B89" s="6" t="s">
        <v>88</v>
      </c>
      <c r="C89" s="22"/>
    </row>
    <row r="90" spans="1:7" s="21" customFormat="1" x14ac:dyDescent="0.25">
      <c r="A90" s="13" t="s">
        <v>93</v>
      </c>
      <c r="B90" s="6" t="s">
        <v>94</v>
      </c>
      <c r="C90" s="22"/>
    </row>
    <row r="91" spans="1:7" s="21" customFormat="1" x14ac:dyDescent="0.25">
      <c r="A91" s="13" t="s">
        <v>105</v>
      </c>
      <c r="B91" s="6" t="s">
        <v>106</v>
      </c>
      <c r="C91" s="22"/>
    </row>
    <row r="92" spans="1:7" s="21" customFormat="1" x14ac:dyDescent="0.25">
      <c r="A92" s="6" t="s">
        <v>131</v>
      </c>
      <c r="B92" s="6" t="s">
        <v>57</v>
      </c>
      <c r="C92" s="22"/>
    </row>
    <row r="93" spans="1:7" s="21" customFormat="1" x14ac:dyDescent="0.25">
      <c r="A93" s="6" t="s">
        <v>132</v>
      </c>
      <c r="B93" s="6" t="s">
        <v>133</v>
      </c>
      <c r="C93" s="22"/>
    </row>
    <row r="94" spans="1:7" s="21" customFormat="1" x14ac:dyDescent="0.25"/>
    <row r="95" spans="1:7" x14ac:dyDescent="0.25">
      <c r="A95" s="8" t="s">
        <v>8</v>
      </c>
      <c r="B95" s="9"/>
      <c r="C95" s="26"/>
      <c r="D95" s="9"/>
      <c r="E95" s="9"/>
      <c r="F95" s="9"/>
      <c r="G95" s="9"/>
    </row>
    <row r="96" spans="1:7" x14ac:dyDescent="0.25">
      <c r="A96" s="5" t="s">
        <v>9</v>
      </c>
      <c r="C96" s="21"/>
    </row>
    <row r="97" spans="1:3" x14ac:dyDescent="0.25">
      <c r="A97" s="5" t="s">
        <v>10</v>
      </c>
      <c r="C97" s="21"/>
    </row>
    <row r="98" spans="1:3" x14ac:dyDescent="0.25">
      <c r="A98" s="5" t="s">
        <v>11</v>
      </c>
      <c r="C98" s="21"/>
    </row>
    <row r="99" spans="1:3" x14ac:dyDescent="0.25">
      <c r="A99" s="5" t="s">
        <v>12</v>
      </c>
      <c r="C99" s="21"/>
    </row>
    <row r="100" spans="1:3" x14ac:dyDescent="0.25">
      <c r="A100" s="5" t="s">
        <v>13</v>
      </c>
      <c r="C100" s="21"/>
    </row>
    <row r="101" spans="1:3" x14ac:dyDescent="0.25">
      <c r="C101" s="21"/>
    </row>
    <row r="102" spans="1:3" x14ac:dyDescent="0.25">
      <c r="C102" s="21"/>
    </row>
    <row r="103" spans="1:3" x14ac:dyDescent="0.25">
      <c r="C103" s="21"/>
    </row>
    <row r="104" spans="1:3" x14ac:dyDescent="0.25">
      <c r="C104" s="21"/>
    </row>
    <row r="105" spans="1:3" x14ac:dyDescent="0.25">
      <c r="C105" s="21"/>
    </row>
    <row r="106" spans="1:3" x14ac:dyDescent="0.25">
      <c r="C106" s="21"/>
    </row>
    <row r="107" spans="1:3" x14ac:dyDescent="0.25">
      <c r="C107" s="21"/>
    </row>
    <row r="108" spans="1:3" x14ac:dyDescent="0.25">
      <c r="C108" s="21"/>
    </row>
    <row r="109" spans="1:3" x14ac:dyDescent="0.25">
      <c r="C109" s="21"/>
    </row>
    <row r="110" spans="1:3" x14ac:dyDescent="0.25">
      <c r="C110" s="21"/>
    </row>
    <row r="111" spans="1:3" x14ac:dyDescent="0.25">
      <c r="C111" s="21"/>
    </row>
    <row r="112" spans="1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  <row r="200" spans="3:3" x14ac:dyDescent="0.25">
      <c r="C200" s="21"/>
    </row>
    <row r="201" spans="3:3" x14ac:dyDescent="0.25">
      <c r="C201" s="21"/>
    </row>
    <row r="202" spans="3:3" x14ac:dyDescent="0.25">
      <c r="C202" s="21"/>
    </row>
    <row r="203" spans="3:3" x14ac:dyDescent="0.25">
      <c r="C203" s="21"/>
    </row>
    <row r="204" spans="3:3" x14ac:dyDescent="0.25">
      <c r="C204" s="21"/>
    </row>
    <row r="205" spans="3:3" x14ac:dyDescent="0.25">
      <c r="C205" s="21"/>
    </row>
    <row r="206" spans="3:3" x14ac:dyDescent="0.25">
      <c r="C206" s="21"/>
    </row>
    <row r="207" spans="3:3" x14ac:dyDescent="0.25">
      <c r="C207" s="21"/>
    </row>
    <row r="208" spans="3:3" x14ac:dyDescent="0.25">
      <c r="C208" s="21"/>
    </row>
    <row r="209" spans="3:3" x14ac:dyDescent="0.25">
      <c r="C209" s="21"/>
    </row>
    <row r="210" spans="3:3" x14ac:dyDescent="0.25">
      <c r="C210" s="21"/>
    </row>
    <row r="211" spans="3:3" x14ac:dyDescent="0.25">
      <c r="C211" s="21"/>
    </row>
    <row r="212" spans="3:3" x14ac:dyDescent="0.25">
      <c r="C212" s="21"/>
    </row>
    <row r="213" spans="3:3" x14ac:dyDescent="0.25">
      <c r="C213" s="21"/>
    </row>
    <row r="214" spans="3:3" x14ac:dyDescent="0.25">
      <c r="C214" s="21"/>
    </row>
    <row r="215" spans="3:3" x14ac:dyDescent="0.25">
      <c r="C215" s="21"/>
    </row>
    <row r="216" spans="3:3" x14ac:dyDescent="0.25">
      <c r="C216" s="21"/>
    </row>
    <row r="217" spans="3:3" x14ac:dyDescent="0.25">
      <c r="C217" s="21"/>
    </row>
    <row r="218" spans="3:3" x14ac:dyDescent="0.25">
      <c r="C218" s="21"/>
    </row>
    <row r="219" spans="3:3" x14ac:dyDescent="0.25">
      <c r="C219" s="21"/>
    </row>
    <row r="220" spans="3:3" x14ac:dyDescent="0.25">
      <c r="C220" s="21"/>
    </row>
    <row r="221" spans="3:3" x14ac:dyDescent="0.25">
      <c r="C221" s="21"/>
    </row>
    <row r="222" spans="3:3" x14ac:dyDescent="0.25">
      <c r="C222" s="21"/>
    </row>
    <row r="223" spans="3:3" x14ac:dyDescent="0.25">
      <c r="C223" s="21"/>
    </row>
    <row r="224" spans="3:3" x14ac:dyDescent="0.25">
      <c r="C224" s="21"/>
    </row>
    <row r="225" spans="3:3" x14ac:dyDescent="0.25">
      <c r="C225" s="21"/>
    </row>
    <row r="226" spans="3:3" x14ac:dyDescent="0.25">
      <c r="C226" s="21"/>
    </row>
    <row r="227" spans="3:3" x14ac:dyDescent="0.25">
      <c r="C227" s="21"/>
    </row>
    <row r="228" spans="3:3" x14ac:dyDescent="0.25">
      <c r="C228" s="21"/>
    </row>
    <row r="229" spans="3:3" x14ac:dyDescent="0.25">
      <c r="C229" s="21"/>
    </row>
    <row r="230" spans="3:3" x14ac:dyDescent="0.25">
      <c r="C230" s="21"/>
    </row>
    <row r="231" spans="3:3" x14ac:dyDescent="0.25">
      <c r="C231" s="21"/>
    </row>
    <row r="232" spans="3:3" x14ac:dyDescent="0.25">
      <c r="C232" s="21"/>
    </row>
    <row r="233" spans="3:3" x14ac:dyDescent="0.25">
      <c r="C233" s="21"/>
    </row>
    <row r="234" spans="3:3" x14ac:dyDescent="0.25">
      <c r="C234" s="21"/>
    </row>
    <row r="235" spans="3:3" x14ac:dyDescent="0.25">
      <c r="C235" s="21"/>
    </row>
    <row r="236" spans="3:3" x14ac:dyDescent="0.25">
      <c r="C236" s="21"/>
    </row>
    <row r="237" spans="3:3" x14ac:dyDescent="0.25">
      <c r="C237" s="21"/>
    </row>
    <row r="238" spans="3:3" x14ac:dyDescent="0.25">
      <c r="C238" s="21"/>
    </row>
    <row r="239" spans="3:3" x14ac:dyDescent="0.25">
      <c r="C239" s="21"/>
    </row>
    <row r="240" spans="3:3" x14ac:dyDescent="0.25">
      <c r="C240" s="21"/>
    </row>
    <row r="241" spans="3:3" x14ac:dyDescent="0.25">
      <c r="C241" s="21"/>
    </row>
    <row r="242" spans="3:3" x14ac:dyDescent="0.25">
      <c r="C242" s="21"/>
    </row>
    <row r="243" spans="3:3" x14ac:dyDescent="0.25">
      <c r="C243" s="21"/>
    </row>
    <row r="244" spans="3:3" x14ac:dyDescent="0.25">
      <c r="C244" s="21"/>
    </row>
    <row r="245" spans="3:3" x14ac:dyDescent="0.25">
      <c r="C245" s="21"/>
    </row>
    <row r="246" spans="3:3" x14ac:dyDescent="0.25">
      <c r="C246" s="21"/>
    </row>
    <row r="247" spans="3:3" x14ac:dyDescent="0.25">
      <c r="C247" s="21"/>
    </row>
    <row r="248" spans="3:3" x14ac:dyDescent="0.25">
      <c r="C248" s="21"/>
    </row>
    <row r="249" spans="3:3" x14ac:dyDescent="0.25">
      <c r="C249" s="21"/>
    </row>
    <row r="250" spans="3:3" x14ac:dyDescent="0.25">
      <c r="C250" s="21"/>
    </row>
    <row r="251" spans="3:3" x14ac:dyDescent="0.25">
      <c r="C251" s="21"/>
    </row>
    <row r="252" spans="3:3" x14ac:dyDescent="0.25">
      <c r="C252" s="21"/>
    </row>
    <row r="253" spans="3:3" x14ac:dyDescent="0.25">
      <c r="C253" s="21"/>
    </row>
    <row r="254" spans="3:3" x14ac:dyDescent="0.25">
      <c r="C254" s="21"/>
    </row>
    <row r="255" spans="3:3" x14ac:dyDescent="0.25">
      <c r="C255" s="21"/>
    </row>
    <row r="256" spans="3:3" x14ac:dyDescent="0.25">
      <c r="C256" s="21"/>
    </row>
    <row r="257" spans="3:3" x14ac:dyDescent="0.25">
      <c r="C257" s="21"/>
    </row>
    <row r="258" spans="3:3" x14ac:dyDescent="0.25">
      <c r="C258" s="21"/>
    </row>
    <row r="259" spans="3:3" x14ac:dyDescent="0.25">
      <c r="C259" s="21"/>
    </row>
    <row r="260" spans="3:3" x14ac:dyDescent="0.25">
      <c r="C260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5" spans="3:3" x14ac:dyDescent="0.25">
      <c r="C265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69" spans="3:3" x14ac:dyDescent="0.25">
      <c r="C269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6" spans="3:3" x14ac:dyDescent="0.25">
      <c r="C286" s="21"/>
    </row>
    <row r="287" spans="3:3" x14ac:dyDescent="0.25">
      <c r="C287" s="21"/>
    </row>
    <row r="288" spans="3:3" x14ac:dyDescent="0.25">
      <c r="C288" s="21"/>
    </row>
    <row r="289" spans="3:3" x14ac:dyDescent="0.25">
      <c r="C289" s="21"/>
    </row>
    <row r="290" spans="3:3" x14ac:dyDescent="0.25">
      <c r="C290" s="21"/>
    </row>
    <row r="291" spans="3:3" x14ac:dyDescent="0.25">
      <c r="C291" s="21"/>
    </row>
    <row r="292" spans="3:3" x14ac:dyDescent="0.25">
      <c r="C292" s="21"/>
    </row>
    <row r="293" spans="3:3" x14ac:dyDescent="0.25">
      <c r="C293" s="21"/>
    </row>
    <row r="294" spans="3:3" x14ac:dyDescent="0.25">
      <c r="C294" s="21"/>
    </row>
    <row r="295" spans="3:3" x14ac:dyDescent="0.25">
      <c r="C295" s="21"/>
    </row>
    <row r="296" spans="3:3" x14ac:dyDescent="0.25">
      <c r="C296" s="21"/>
    </row>
    <row r="297" spans="3:3" x14ac:dyDescent="0.25">
      <c r="C297" s="21"/>
    </row>
    <row r="298" spans="3:3" x14ac:dyDescent="0.25">
      <c r="C298" s="21"/>
    </row>
    <row r="299" spans="3:3" x14ac:dyDescent="0.25">
      <c r="C299" s="21"/>
    </row>
    <row r="300" spans="3:3" x14ac:dyDescent="0.25">
      <c r="C300" s="21"/>
    </row>
    <row r="301" spans="3:3" x14ac:dyDescent="0.25">
      <c r="C301" s="21"/>
    </row>
    <row r="302" spans="3:3" x14ac:dyDescent="0.25">
      <c r="C302" s="21"/>
    </row>
    <row r="303" spans="3:3" x14ac:dyDescent="0.25">
      <c r="C303" s="21"/>
    </row>
    <row r="304" spans="3:3" x14ac:dyDescent="0.25">
      <c r="C304" s="21"/>
    </row>
    <row r="305" spans="3:3" x14ac:dyDescent="0.25">
      <c r="C305" s="21"/>
    </row>
    <row r="306" spans="3:3" x14ac:dyDescent="0.25">
      <c r="C306" s="21"/>
    </row>
    <row r="307" spans="3:3" x14ac:dyDescent="0.25">
      <c r="C307" s="21"/>
    </row>
    <row r="308" spans="3:3" x14ac:dyDescent="0.25">
      <c r="C308" s="21"/>
    </row>
    <row r="309" spans="3:3" x14ac:dyDescent="0.25">
      <c r="C309" s="21"/>
    </row>
    <row r="310" spans="3:3" x14ac:dyDescent="0.25">
      <c r="C310" s="21"/>
    </row>
    <row r="311" spans="3:3" x14ac:dyDescent="0.25">
      <c r="C311" s="21"/>
    </row>
    <row r="312" spans="3:3" x14ac:dyDescent="0.25">
      <c r="C312" s="21"/>
    </row>
    <row r="313" spans="3:3" x14ac:dyDescent="0.25">
      <c r="C313" s="21"/>
    </row>
    <row r="314" spans="3:3" x14ac:dyDescent="0.25">
      <c r="C314" s="21"/>
    </row>
    <row r="315" spans="3:3" x14ac:dyDescent="0.25">
      <c r="C315" s="21"/>
    </row>
    <row r="316" spans="3:3" x14ac:dyDescent="0.25">
      <c r="C316" s="21"/>
    </row>
    <row r="317" spans="3:3" x14ac:dyDescent="0.25">
      <c r="C317" s="21"/>
    </row>
    <row r="318" spans="3:3" x14ac:dyDescent="0.25">
      <c r="C318" s="21"/>
    </row>
    <row r="319" spans="3:3" x14ac:dyDescent="0.25">
      <c r="C319" s="21"/>
    </row>
  </sheetData>
  <mergeCells count="12">
    <mergeCell ref="B1:G1"/>
    <mergeCell ref="D2:G2"/>
    <mergeCell ref="C7:C8"/>
    <mergeCell ref="D7:D8"/>
    <mergeCell ref="E7:E8"/>
    <mergeCell ref="F7:F8"/>
    <mergeCell ref="G7:G8"/>
    <mergeCell ref="I2:L2"/>
    <mergeCell ref="I7:I8"/>
    <mergeCell ref="J7:J8"/>
    <mergeCell ref="K7:K8"/>
    <mergeCell ref="L7:L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A65" workbookViewId="0">
      <selection activeCell="A32" sqref="A32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</cols>
  <sheetData>
    <row r="1" spans="1:12" x14ac:dyDescent="0.25">
      <c r="A1" s="1" t="s">
        <v>14</v>
      </c>
      <c r="B1" s="104" t="s">
        <v>195</v>
      </c>
      <c r="C1" s="104"/>
      <c r="D1" s="104"/>
      <c r="E1" s="104"/>
      <c r="F1" s="104"/>
      <c r="G1" s="104"/>
      <c r="H1" t="s">
        <v>174</v>
      </c>
      <c r="I1">
        <f>AVERAGE(D6:G78)</f>
        <v>4.3382352941176467</v>
      </c>
      <c r="J1" t="s">
        <v>177</v>
      </c>
      <c r="K1">
        <f>_xlfn.STDEV.S(D6:G78)</f>
        <v>0.6864693876831085</v>
      </c>
    </row>
    <row r="2" spans="1:12" x14ac:dyDescent="0.25">
      <c r="D2" s="102" t="s">
        <v>16</v>
      </c>
      <c r="E2" s="102"/>
      <c r="F2" s="102"/>
      <c r="G2" s="102"/>
      <c r="I2" s="103" t="s">
        <v>214</v>
      </c>
      <c r="J2" s="103"/>
      <c r="K2" s="103"/>
      <c r="L2" s="103"/>
    </row>
    <row r="3" spans="1:12" s="2" customFormat="1" ht="18.75" x14ac:dyDescent="0.3">
      <c r="A3" s="3" t="s">
        <v>3</v>
      </c>
      <c r="B3" s="3" t="s">
        <v>4</v>
      </c>
      <c r="C3" s="3" t="s">
        <v>17</v>
      </c>
      <c r="D3" s="10" t="s">
        <v>15</v>
      </c>
      <c r="E3" s="3" t="s">
        <v>7</v>
      </c>
      <c r="F3" s="3" t="s">
        <v>5</v>
      </c>
      <c r="G3" s="3" t="s">
        <v>6</v>
      </c>
      <c r="I3" s="3" t="str">
        <f>D3</f>
        <v>Актуальность темы</v>
      </c>
      <c r="J3" s="3" t="str">
        <f t="shared" ref="J3:L3" si="0">E3</f>
        <v>Научная состовляющая</v>
      </c>
      <c r="K3" s="3" t="str">
        <f t="shared" si="0"/>
        <v>Доступность изложения</v>
      </c>
      <c r="L3" s="3" t="str">
        <f t="shared" si="0"/>
        <v>Авторский стиль</v>
      </c>
    </row>
    <row r="4" spans="1:12" s="2" customFormat="1" ht="18.75" x14ac:dyDescent="0.3">
      <c r="A4" s="4"/>
      <c r="B4" s="4"/>
      <c r="C4" s="16"/>
      <c r="D4" s="4"/>
      <c r="E4" s="4"/>
      <c r="F4" s="4"/>
      <c r="G4" s="4"/>
    </row>
    <row r="5" spans="1:12" s="12" customFormat="1" x14ac:dyDescent="0.25">
      <c r="A5" s="1" t="s">
        <v>0</v>
      </c>
    </row>
    <row r="6" spans="1:12" s="12" customFormat="1" x14ac:dyDescent="0.25">
      <c r="A6" s="13" t="s">
        <v>21</v>
      </c>
      <c r="B6" s="6" t="s">
        <v>22</v>
      </c>
      <c r="C6" s="11"/>
      <c r="D6" s="12">
        <v>4</v>
      </c>
      <c r="E6" s="12">
        <v>4</v>
      </c>
      <c r="F6" s="12">
        <v>4</v>
      </c>
      <c r="G6" s="47">
        <v>3</v>
      </c>
      <c r="I6" s="12">
        <f>STANDARDIZE(D6,$I$1,$K$1)</f>
        <v>-0.49271722845387045</v>
      </c>
      <c r="J6" s="12">
        <f t="shared" ref="J6:L6" si="1">STANDARDIZE(E6,$I$1,$K$1)</f>
        <v>-0.49271722845387045</v>
      </c>
      <c r="K6" s="12">
        <f t="shared" si="1"/>
        <v>-0.49271722845387045</v>
      </c>
      <c r="L6" s="12">
        <f t="shared" si="1"/>
        <v>-1.9494464256218367</v>
      </c>
    </row>
    <row r="7" spans="1:12" s="12" customFormat="1" x14ac:dyDescent="0.25">
      <c r="A7" s="14" t="s">
        <v>31</v>
      </c>
      <c r="B7" s="6" t="s">
        <v>32</v>
      </c>
      <c r="C7" s="105"/>
      <c r="D7" s="121">
        <v>4</v>
      </c>
      <c r="E7" s="121">
        <v>3</v>
      </c>
      <c r="F7" s="121">
        <v>4</v>
      </c>
      <c r="G7" s="121">
        <v>3</v>
      </c>
      <c r="I7" s="100">
        <f t="shared" ref="I7:I55" si="2">STANDARDIZE(D7,$I$1,$K$1)</f>
        <v>-0.49271722845387045</v>
      </c>
      <c r="J7" s="100">
        <f t="shared" ref="J7:J55" si="3">STANDARDIZE(E7,$I$1,$K$1)</f>
        <v>-1.9494464256218367</v>
      </c>
      <c r="K7" s="100">
        <f t="shared" ref="K7:K55" si="4">STANDARDIZE(F7,$I$1,$K$1)</f>
        <v>-0.49271722845387045</v>
      </c>
      <c r="L7" s="100">
        <f t="shared" ref="L7:L55" si="5">STANDARDIZE(G7,$I$1,$K$1)</f>
        <v>-1.9494464256218367</v>
      </c>
    </row>
    <row r="8" spans="1:12" s="12" customFormat="1" x14ac:dyDescent="0.25">
      <c r="A8" s="13" t="s">
        <v>33</v>
      </c>
      <c r="B8" s="6" t="s">
        <v>32</v>
      </c>
      <c r="C8" s="105"/>
      <c r="D8" s="121"/>
      <c r="E8" s="121"/>
      <c r="F8" s="121"/>
      <c r="G8" s="121"/>
      <c r="I8" s="100"/>
      <c r="J8" s="100"/>
      <c r="K8" s="100"/>
      <c r="L8" s="100"/>
    </row>
    <row r="9" spans="1:12" s="12" customFormat="1" x14ac:dyDescent="0.25">
      <c r="A9" s="13" t="s">
        <v>36</v>
      </c>
      <c r="B9" s="6" t="s">
        <v>37</v>
      </c>
      <c r="C9" s="11"/>
      <c r="D9" s="12">
        <v>4</v>
      </c>
      <c r="E9" s="12">
        <v>3</v>
      </c>
      <c r="F9" s="12">
        <v>3</v>
      </c>
      <c r="G9" s="47">
        <v>3</v>
      </c>
      <c r="I9" s="12">
        <f t="shared" si="2"/>
        <v>-0.49271722845387045</v>
      </c>
      <c r="J9" s="12">
        <f t="shared" si="3"/>
        <v>-1.9494464256218367</v>
      </c>
      <c r="K9" s="12">
        <f t="shared" si="4"/>
        <v>-1.9494464256218367</v>
      </c>
      <c r="L9" s="12">
        <f t="shared" si="5"/>
        <v>-1.9494464256218367</v>
      </c>
    </row>
    <row r="10" spans="1:12" s="12" customFormat="1" x14ac:dyDescent="0.25">
      <c r="A10" s="13" t="s">
        <v>38</v>
      </c>
      <c r="B10" s="6" t="s">
        <v>39</v>
      </c>
      <c r="C10" s="11"/>
      <c r="D10" s="12">
        <v>5</v>
      </c>
      <c r="E10" s="12">
        <v>4</v>
      </c>
      <c r="F10" s="12">
        <v>5</v>
      </c>
      <c r="G10" s="47">
        <v>5</v>
      </c>
      <c r="I10" s="12">
        <f t="shared" si="2"/>
        <v>0.96401196871409578</v>
      </c>
      <c r="J10" s="12">
        <f t="shared" si="3"/>
        <v>-0.49271722845387045</v>
      </c>
      <c r="K10" s="12">
        <f t="shared" si="4"/>
        <v>0.96401196871409578</v>
      </c>
      <c r="L10" s="12">
        <f t="shared" si="5"/>
        <v>0.96401196871409578</v>
      </c>
    </row>
    <row r="11" spans="1:12" s="12" customFormat="1" x14ac:dyDescent="0.25">
      <c r="A11" s="13" t="s">
        <v>42</v>
      </c>
      <c r="B11" s="6" t="s">
        <v>43</v>
      </c>
      <c r="C11" s="11"/>
      <c r="D11" s="47">
        <v>5</v>
      </c>
      <c r="E11" s="47">
        <v>4</v>
      </c>
      <c r="F11" s="47">
        <v>4</v>
      </c>
      <c r="G11" s="47">
        <v>3</v>
      </c>
      <c r="I11" s="12">
        <f t="shared" si="2"/>
        <v>0.96401196871409578</v>
      </c>
      <c r="J11" s="12">
        <f t="shared" si="3"/>
        <v>-0.49271722845387045</v>
      </c>
      <c r="K11" s="12">
        <f t="shared" si="4"/>
        <v>-0.49271722845387045</v>
      </c>
      <c r="L11" s="12">
        <f t="shared" si="5"/>
        <v>-1.9494464256218367</v>
      </c>
    </row>
    <row r="12" spans="1:12" s="12" customFormat="1" x14ac:dyDescent="0.25">
      <c r="A12" s="13" t="s">
        <v>44</v>
      </c>
      <c r="B12" s="6" t="s">
        <v>45</v>
      </c>
      <c r="C12" s="11"/>
      <c r="D12" s="47">
        <v>5</v>
      </c>
      <c r="E12" s="47">
        <v>5</v>
      </c>
      <c r="F12" s="47">
        <v>5</v>
      </c>
      <c r="G12" s="47">
        <v>5</v>
      </c>
      <c r="I12" s="12">
        <f t="shared" si="2"/>
        <v>0.96401196871409578</v>
      </c>
      <c r="J12" s="12">
        <f t="shared" si="3"/>
        <v>0.96401196871409578</v>
      </c>
      <c r="K12" s="12">
        <f t="shared" si="4"/>
        <v>0.96401196871409578</v>
      </c>
      <c r="L12" s="12">
        <f t="shared" si="5"/>
        <v>0.96401196871409578</v>
      </c>
    </row>
    <row r="13" spans="1:12" s="12" customFormat="1" x14ac:dyDescent="0.25">
      <c r="A13" s="13" t="s">
        <v>50</v>
      </c>
      <c r="B13" s="6" t="s">
        <v>51</v>
      </c>
      <c r="C13" s="11"/>
      <c r="D13" s="47">
        <v>5</v>
      </c>
      <c r="E13" s="47">
        <v>5</v>
      </c>
      <c r="F13" s="47">
        <v>5</v>
      </c>
      <c r="G13" s="47">
        <v>5</v>
      </c>
      <c r="I13" s="12">
        <f t="shared" si="2"/>
        <v>0.96401196871409578</v>
      </c>
      <c r="J13" s="12">
        <f t="shared" si="3"/>
        <v>0.96401196871409578</v>
      </c>
      <c r="K13" s="12">
        <f t="shared" si="4"/>
        <v>0.96401196871409578</v>
      </c>
      <c r="L13" s="12">
        <f t="shared" si="5"/>
        <v>0.96401196871409578</v>
      </c>
    </row>
    <row r="14" spans="1:12" s="12" customFormat="1" x14ac:dyDescent="0.25">
      <c r="A14" s="13" t="s">
        <v>54</v>
      </c>
      <c r="B14" s="6" t="s">
        <v>55</v>
      </c>
      <c r="C14" s="11"/>
      <c r="D14" s="47">
        <v>5</v>
      </c>
      <c r="E14" s="47">
        <v>5</v>
      </c>
      <c r="F14" s="47">
        <v>5</v>
      </c>
      <c r="G14" s="47">
        <v>5</v>
      </c>
      <c r="I14" s="12">
        <f t="shared" si="2"/>
        <v>0.96401196871409578</v>
      </c>
      <c r="J14" s="12">
        <f t="shared" si="3"/>
        <v>0.96401196871409578</v>
      </c>
      <c r="K14" s="12">
        <f t="shared" si="4"/>
        <v>0.96401196871409578</v>
      </c>
      <c r="L14" s="12">
        <f t="shared" si="5"/>
        <v>0.96401196871409578</v>
      </c>
    </row>
    <row r="15" spans="1:12" s="12" customFormat="1" x14ac:dyDescent="0.25">
      <c r="A15" s="13" t="s">
        <v>56</v>
      </c>
      <c r="B15" s="6" t="s">
        <v>57</v>
      </c>
      <c r="C15" s="11"/>
      <c r="D15" s="47">
        <v>4</v>
      </c>
      <c r="E15" s="47">
        <v>3</v>
      </c>
      <c r="F15" s="47">
        <v>5</v>
      </c>
      <c r="G15" s="47">
        <v>4</v>
      </c>
      <c r="I15" s="12">
        <f t="shared" si="2"/>
        <v>-0.49271722845387045</v>
      </c>
      <c r="J15" s="12">
        <f t="shared" si="3"/>
        <v>-1.9494464256218367</v>
      </c>
      <c r="K15" s="12">
        <f t="shared" si="4"/>
        <v>0.96401196871409578</v>
      </c>
      <c r="L15" s="12">
        <f t="shared" si="5"/>
        <v>-0.49271722845387045</v>
      </c>
    </row>
    <row r="16" spans="1:12" x14ac:dyDescent="0.25">
      <c r="A16" s="13" t="s">
        <v>60</v>
      </c>
      <c r="B16" s="6" t="s">
        <v>61</v>
      </c>
      <c r="C16" s="12"/>
      <c r="D16" s="47">
        <v>5</v>
      </c>
      <c r="E16" s="47">
        <v>5</v>
      </c>
      <c r="F16" s="47">
        <v>5</v>
      </c>
      <c r="G16" s="47">
        <v>5</v>
      </c>
      <c r="I16" s="12">
        <f t="shared" si="2"/>
        <v>0.96401196871409578</v>
      </c>
      <c r="J16" s="12">
        <f t="shared" si="3"/>
        <v>0.96401196871409578</v>
      </c>
      <c r="K16" s="12">
        <f t="shared" si="4"/>
        <v>0.96401196871409578</v>
      </c>
      <c r="L16" s="12">
        <f t="shared" si="5"/>
        <v>0.96401196871409578</v>
      </c>
    </row>
    <row r="17" spans="1:12" s="12" customFormat="1" x14ac:dyDescent="0.25">
      <c r="A17" s="13" t="s">
        <v>70</v>
      </c>
      <c r="B17" s="6" t="s">
        <v>71</v>
      </c>
      <c r="C17" s="11"/>
      <c r="D17" s="47">
        <v>5</v>
      </c>
      <c r="E17" s="47">
        <v>4</v>
      </c>
      <c r="F17" s="47">
        <v>4</v>
      </c>
      <c r="G17" s="47">
        <v>4</v>
      </c>
      <c r="I17" s="12">
        <f t="shared" si="2"/>
        <v>0.96401196871409578</v>
      </c>
      <c r="J17" s="12">
        <f t="shared" si="3"/>
        <v>-0.49271722845387045</v>
      </c>
      <c r="K17" s="12">
        <f t="shared" si="4"/>
        <v>-0.49271722845387045</v>
      </c>
      <c r="L17" s="12">
        <f t="shared" si="5"/>
        <v>-0.49271722845387045</v>
      </c>
    </row>
    <row r="18" spans="1:12" s="12" customFormat="1" x14ac:dyDescent="0.25">
      <c r="A18" s="13" t="s">
        <v>78</v>
      </c>
      <c r="B18" s="6" t="s">
        <v>53</v>
      </c>
      <c r="C18" s="11"/>
      <c r="D18" s="47">
        <v>5</v>
      </c>
      <c r="E18" s="47">
        <v>5</v>
      </c>
      <c r="F18" s="47">
        <v>5</v>
      </c>
      <c r="G18" s="47">
        <v>5</v>
      </c>
      <c r="I18" s="12">
        <f t="shared" si="2"/>
        <v>0.96401196871409578</v>
      </c>
      <c r="J18" s="12">
        <f t="shared" si="3"/>
        <v>0.96401196871409578</v>
      </c>
      <c r="K18" s="12">
        <f t="shared" si="4"/>
        <v>0.96401196871409578</v>
      </c>
      <c r="L18" s="12">
        <f t="shared" si="5"/>
        <v>0.96401196871409578</v>
      </c>
    </row>
    <row r="19" spans="1:12" s="12" customFormat="1" x14ac:dyDescent="0.25">
      <c r="A19" s="13" t="s">
        <v>79</v>
      </c>
      <c r="B19" s="6" t="s">
        <v>80</v>
      </c>
      <c r="C19" s="11"/>
      <c r="D19" s="47">
        <v>5</v>
      </c>
      <c r="E19" s="47">
        <v>5</v>
      </c>
      <c r="F19" s="47">
        <v>4</v>
      </c>
      <c r="G19" s="47">
        <v>4</v>
      </c>
      <c r="I19" s="12">
        <f t="shared" si="2"/>
        <v>0.96401196871409578</v>
      </c>
      <c r="J19" s="12">
        <f t="shared" si="3"/>
        <v>0.96401196871409578</v>
      </c>
      <c r="K19" s="12">
        <f t="shared" si="4"/>
        <v>-0.49271722845387045</v>
      </c>
      <c r="L19" s="12">
        <f t="shared" si="5"/>
        <v>-0.49271722845387045</v>
      </c>
    </row>
    <row r="20" spans="1:12" s="12" customFormat="1" x14ac:dyDescent="0.25">
      <c r="A20" s="13" t="s">
        <v>81</v>
      </c>
      <c r="B20" s="6" t="s">
        <v>82</v>
      </c>
      <c r="C20" s="11"/>
      <c r="D20" s="47">
        <v>5</v>
      </c>
      <c r="E20" s="47">
        <v>5</v>
      </c>
      <c r="F20" s="47">
        <v>5</v>
      </c>
      <c r="G20" s="47">
        <v>5</v>
      </c>
      <c r="I20" s="12">
        <f t="shared" si="2"/>
        <v>0.96401196871409578</v>
      </c>
      <c r="J20" s="12">
        <f t="shared" si="3"/>
        <v>0.96401196871409578</v>
      </c>
      <c r="K20" s="12">
        <f t="shared" si="4"/>
        <v>0.96401196871409578</v>
      </c>
      <c r="L20" s="12">
        <f t="shared" si="5"/>
        <v>0.96401196871409578</v>
      </c>
    </row>
    <row r="21" spans="1:12" s="12" customFormat="1" x14ac:dyDescent="0.25">
      <c r="A21" s="13" t="s">
        <v>85</v>
      </c>
      <c r="B21" s="6" t="s">
        <v>86</v>
      </c>
      <c r="C21" s="11"/>
      <c r="D21" s="47">
        <v>5</v>
      </c>
      <c r="E21" s="47">
        <v>5</v>
      </c>
      <c r="F21" s="47">
        <v>4</v>
      </c>
      <c r="G21" s="47">
        <v>5</v>
      </c>
      <c r="I21" s="12">
        <f t="shared" si="2"/>
        <v>0.96401196871409578</v>
      </c>
      <c r="J21" s="12">
        <f t="shared" si="3"/>
        <v>0.96401196871409578</v>
      </c>
      <c r="K21" s="12">
        <f t="shared" si="4"/>
        <v>-0.49271722845387045</v>
      </c>
      <c r="L21" s="12">
        <f t="shared" si="5"/>
        <v>0.96401196871409578</v>
      </c>
    </row>
    <row r="22" spans="1:12" s="12" customFormat="1" x14ac:dyDescent="0.25">
      <c r="A22" s="13" t="s">
        <v>97</v>
      </c>
      <c r="B22" s="6" t="s">
        <v>98</v>
      </c>
      <c r="C22" s="11"/>
      <c r="D22" s="47">
        <v>4</v>
      </c>
      <c r="E22" s="47">
        <v>4</v>
      </c>
      <c r="F22" s="47">
        <v>4</v>
      </c>
      <c r="G22" s="47">
        <v>4</v>
      </c>
      <c r="I22" s="12">
        <f t="shared" si="2"/>
        <v>-0.49271722845387045</v>
      </c>
      <c r="J22" s="12">
        <f t="shared" si="3"/>
        <v>-0.49271722845387045</v>
      </c>
      <c r="K22" s="12">
        <f t="shared" si="4"/>
        <v>-0.49271722845387045</v>
      </c>
      <c r="L22" s="12">
        <f t="shared" si="5"/>
        <v>-0.49271722845387045</v>
      </c>
    </row>
    <row r="23" spans="1:12" s="12" customFormat="1" x14ac:dyDescent="0.25">
      <c r="A23" s="13" t="s">
        <v>101</v>
      </c>
      <c r="B23" s="6" t="s">
        <v>102</v>
      </c>
      <c r="C23" s="11"/>
      <c r="D23" s="47">
        <v>4</v>
      </c>
      <c r="E23" s="47">
        <v>4</v>
      </c>
      <c r="F23" s="47">
        <v>5</v>
      </c>
      <c r="G23" s="47">
        <v>5</v>
      </c>
      <c r="I23" s="12">
        <f t="shared" si="2"/>
        <v>-0.49271722845387045</v>
      </c>
      <c r="J23" s="12">
        <f t="shared" si="3"/>
        <v>-0.49271722845387045</v>
      </c>
      <c r="K23" s="12">
        <f t="shared" si="4"/>
        <v>0.96401196871409578</v>
      </c>
      <c r="L23" s="12">
        <f t="shared" si="5"/>
        <v>0.96401196871409578</v>
      </c>
    </row>
    <row r="24" spans="1:12" s="12" customFormat="1" x14ac:dyDescent="0.25">
      <c r="A24" s="13" t="s">
        <v>107</v>
      </c>
      <c r="B24" s="6" t="s">
        <v>108</v>
      </c>
      <c r="C24" s="11"/>
      <c r="D24" s="47">
        <v>4</v>
      </c>
      <c r="E24" s="47">
        <v>4</v>
      </c>
      <c r="F24" s="47">
        <v>4</v>
      </c>
      <c r="G24" s="47">
        <v>4</v>
      </c>
      <c r="I24" s="12">
        <f t="shared" si="2"/>
        <v>-0.49271722845387045</v>
      </c>
      <c r="J24" s="12">
        <f t="shared" si="3"/>
        <v>-0.49271722845387045</v>
      </c>
      <c r="K24" s="12">
        <f t="shared" si="4"/>
        <v>-0.49271722845387045</v>
      </c>
      <c r="L24" s="12">
        <f t="shared" si="5"/>
        <v>-0.49271722845387045</v>
      </c>
    </row>
    <row r="25" spans="1:12" s="12" customFormat="1" x14ac:dyDescent="0.25">
      <c r="A25" s="13" t="s">
        <v>109</v>
      </c>
      <c r="B25" s="6" t="s">
        <v>110</v>
      </c>
      <c r="C25" s="11"/>
      <c r="D25" s="47">
        <v>4</v>
      </c>
      <c r="E25" s="47">
        <v>5</v>
      </c>
      <c r="F25" s="47">
        <v>5</v>
      </c>
      <c r="G25" s="47">
        <v>5</v>
      </c>
      <c r="I25" s="12">
        <f t="shared" si="2"/>
        <v>-0.49271722845387045</v>
      </c>
      <c r="J25" s="12">
        <f t="shared" si="3"/>
        <v>0.96401196871409578</v>
      </c>
      <c r="K25" s="12">
        <f t="shared" si="4"/>
        <v>0.96401196871409578</v>
      </c>
      <c r="L25" s="12">
        <f t="shared" si="5"/>
        <v>0.96401196871409578</v>
      </c>
    </row>
    <row r="26" spans="1:12" s="12" customFormat="1" x14ac:dyDescent="0.25">
      <c r="A26" s="13" t="s">
        <v>111</v>
      </c>
      <c r="B26" s="6" t="s">
        <v>112</v>
      </c>
      <c r="C26" s="11"/>
      <c r="D26" s="47">
        <v>5</v>
      </c>
      <c r="E26" s="47">
        <v>5</v>
      </c>
      <c r="F26" s="47">
        <v>5</v>
      </c>
      <c r="G26" s="47">
        <v>5</v>
      </c>
      <c r="I26" s="12">
        <f t="shared" si="2"/>
        <v>0.96401196871409578</v>
      </c>
      <c r="J26" s="12">
        <f t="shared" si="3"/>
        <v>0.96401196871409578</v>
      </c>
      <c r="K26" s="12">
        <f t="shared" si="4"/>
        <v>0.96401196871409578</v>
      </c>
      <c r="L26" s="12">
        <f t="shared" si="5"/>
        <v>0.96401196871409578</v>
      </c>
    </row>
    <row r="27" spans="1:12" s="12" customFormat="1" x14ac:dyDescent="0.25">
      <c r="A27" s="13" t="s">
        <v>121</v>
      </c>
      <c r="B27" s="6" t="s">
        <v>122</v>
      </c>
      <c r="C27" s="11"/>
      <c r="D27" s="47">
        <v>4</v>
      </c>
      <c r="E27" s="47">
        <v>3</v>
      </c>
      <c r="F27" s="47">
        <v>4</v>
      </c>
      <c r="G27" s="47">
        <v>4</v>
      </c>
      <c r="I27" s="12">
        <f t="shared" si="2"/>
        <v>-0.49271722845387045</v>
      </c>
      <c r="J27" s="12">
        <f t="shared" si="3"/>
        <v>-1.9494464256218367</v>
      </c>
      <c r="K27" s="12">
        <f t="shared" si="4"/>
        <v>-0.49271722845387045</v>
      </c>
      <c r="L27" s="12">
        <f t="shared" si="5"/>
        <v>-0.49271722845387045</v>
      </c>
    </row>
    <row r="28" spans="1:12" s="12" customFormat="1" x14ac:dyDescent="0.25">
      <c r="A28" s="13" t="s">
        <v>123</v>
      </c>
      <c r="B28" s="6" t="s">
        <v>124</v>
      </c>
      <c r="C28" s="11"/>
      <c r="D28" s="47">
        <v>4</v>
      </c>
      <c r="E28" s="47">
        <v>4</v>
      </c>
      <c r="F28" s="47">
        <v>4</v>
      </c>
      <c r="G28" s="47">
        <v>4</v>
      </c>
      <c r="I28" s="12">
        <f t="shared" si="2"/>
        <v>-0.49271722845387045</v>
      </c>
      <c r="J28" s="12">
        <f t="shared" si="3"/>
        <v>-0.49271722845387045</v>
      </c>
      <c r="K28" s="12">
        <f t="shared" si="4"/>
        <v>-0.49271722845387045</v>
      </c>
      <c r="L28" s="12">
        <f t="shared" si="5"/>
        <v>-0.49271722845387045</v>
      </c>
    </row>
    <row r="29" spans="1:12" s="12" customFormat="1" x14ac:dyDescent="0.25">
      <c r="A29" s="6" t="s">
        <v>134</v>
      </c>
      <c r="B29" s="6" t="s">
        <v>135</v>
      </c>
      <c r="C29" s="11"/>
      <c r="D29" s="12">
        <v>4</v>
      </c>
      <c r="E29" s="12">
        <v>3</v>
      </c>
      <c r="F29" s="12">
        <v>4</v>
      </c>
      <c r="G29" s="47">
        <v>4</v>
      </c>
      <c r="I29" s="12">
        <f t="shared" si="2"/>
        <v>-0.49271722845387045</v>
      </c>
      <c r="J29" s="12">
        <f t="shared" si="3"/>
        <v>-1.9494464256218367</v>
      </c>
      <c r="K29" s="12">
        <f t="shared" si="4"/>
        <v>-0.49271722845387045</v>
      </c>
      <c r="L29" s="12">
        <f t="shared" si="5"/>
        <v>-0.49271722845387045</v>
      </c>
    </row>
    <row r="30" spans="1:12" s="12" customFormat="1" x14ac:dyDescent="0.25">
      <c r="A30" s="6" t="s">
        <v>145</v>
      </c>
      <c r="B30" s="6" t="s">
        <v>146</v>
      </c>
      <c r="C30" s="17"/>
      <c r="D30" s="12">
        <v>4</v>
      </c>
      <c r="E30" s="12">
        <v>3</v>
      </c>
      <c r="F30" s="12">
        <v>4</v>
      </c>
      <c r="G30" s="47">
        <v>3</v>
      </c>
      <c r="I30" s="12">
        <f t="shared" si="2"/>
        <v>-0.49271722845387045</v>
      </c>
      <c r="J30" s="12">
        <f t="shared" si="3"/>
        <v>-1.9494464256218367</v>
      </c>
      <c r="K30" s="12">
        <f t="shared" si="4"/>
        <v>-0.49271722845387045</v>
      </c>
      <c r="L30" s="12">
        <f t="shared" si="5"/>
        <v>-1.9494464256218367</v>
      </c>
    </row>
    <row r="31" spans="1:12" s="12" customFormat="1" x14ac:dyDescent="0.25">
      <c r="A31" s="6" t="s">
        <v>153</v>
      </c>
      <c r="B31" s="6" t="s">
        <v>154</v>
      </c>
      <c r="C31" s="17"/>
      <c r="D31" s="12">
        <v>4</v>
      </c>
      <c r="E31" s="12">
        <v>4</v>
      </c>
      <c r="F31" s="12">
        <v>5</v>
      </c>
      <c r="G31" s="47">
        <v>4</v>
      </c>
      <c r="I31" s="12">
        <f t="shared" si="2"/>
        <v>-0.49271722845387045</v>
      </c>
      <c r="J31" s="12">
        <f t="shared" si="3"/>
        <v>-0.49271722845387045</v>
      </c>
      <c r="K31" s="12">
        <f t="shared" si="4"/>
        <v>0.96401196871409578</v>
      </c>
      <c r="L31" s="12">
        <f t="shared" si="5"/>
        <v>-0.49271722845387045</v>
      </c>
    </row>
    <row r="32" spans="1:12" s="12" customFormat="1" x14ac:dyDescent="0.25">
      <c r="A32" s="6" t="s">
        <v>163</v>
      </c>
      <c r="B32" s="6" t="s">
        <v>162</v>
      </c>
      <c r="C32" s="17"/>
      <c r="D32" s="12">
        <v>5</v>
      </c>
      <c r="E32" s="12">
        <v>4</v>
      </c>
      <c r="F32" s="12">
        <v>4</v>
      </c>
      <c r="G32" s="47">
        <v>4</v>
      </c>
      <c r="I32" s="12">
        <f t="shared" si="2"/>
        <v>0.96401196871409578</v>
      </c>
      <c r="J32" s="12">
        <f t="shared" si="3"/>
        <v>-0.49271722845387045</v>
      </c>
      <c r="K32" s="12">
        <f t="shared" si="4"/>
        <v>-0.49271722845387045</v>
      </c>
      <c r="L32" s="12">
        <f t="shared" si="5"/>
        <v>-0.49271722845387045</v>
      </c>
    </row>
    <row r="33" spans="1:12" s="12" customFormat="1" x14ac:dyDescent="0.25">
      <c r="A33" s="6" t="s">
        <v>166</v>
      </c>
      <c r="B33" s="6" t="s">
        <v>167</v>
      </c>
      <c r="C33"/>
      <c r="D33">
        <v>5</v>
      </c>
      <c r="E33">
        <v>4</v>
      </c>
      <c r="F33">
        <v>4</v>
      </c>
      <c r="G33">
        <v>3</v>
      </c>
      <c r="H33"/>
      <c r="I33" s="12">
        <f t="shared" si="2"/>
        <v>0.96401196871409578</v>
      </c>
      <c r="J33" s="12">
        <f t="shared" si="3"/>
        <v>-0.49271722845387045</v>
      </c>
      <c r="K33" s="12">
        <f t="shared" si="4"/>
        <v>-0.49271722845387045</v>
      </c>
      <c r="L33" s="12">
        <f t="shared" si="5"/>
        <v>-1.9494464256218367</v>
      </c>
    </row>
    <row r="34" spans="1:12" s="12" customFormat="1" x14ac:dyDescent="0.25">
      <c r="A34" s="6" t="s">
        <v>164</v>
      </c>
      <c r="B34" s="6" t="s">
        <v>165</v>
      </c>
      <c r="C34"/>
      <c r="D34">
        <v>5</v>
      </c>
      <c r="E34">
        <v>5</v>
      </c>
      <c r="F34">
        <v>5</v>
      </c>
      <c r="G34">
        <v>5</v>
      </c>
      <c r="H34"/>
      <c r="I34" s="12">
        <f t="shared" si="2"/>
        <v>0.96401196871409578</v>
      </c>
      <c r="J34" s="12">
        <f t="shared" si="3"/>
        <v>0.96401196871409578</v>
      </c>
      <c r="K34" s="12">
        <f t="shared" si="4"/>
        <v>0.96401196871409578</v>
      </c>
      <c r="L34" s="12">
        <f t="shared" si="5"/>
        <v>0.96401196871409578</v>
      </c>
    </row>
    <row r="35" spans="1:12" s="12" customFormat="1" x14ac:dyDescent="0.25">
      <c r="B35" s="7"/>
      <c r="C35" s="7"/>
    </row>
    <row r="36" spans="1:12" s="12" customFormat="1" x14ac:dyDescent="0.25">
      <c r="A36" s="1" t="s">
        <v>1</v>
      </c>
      <c r="B36" s="7"/>
      <c r="C36" s="7"/>
    </row>
    <row r="37" spans="1:12" s="12" customFormat="1" x14ac:dyDescent="0.25">
      <c r="A37" s="13" t="s">
        <v>23</v>
      </c>
      <c r="B37" s="6" t="s">
        <v>24</v>
      </c>
      <c r="C37" s="11"/>
      <c r="D37" s="12">
        <v>5</v>
      </c>
      <c r="E37" s="12">
        <v>4</v>
      </c>
      <c r="F37" s="12">
        <v>4</v>
      </c>
      <c r="G37" s="47">
        <v>4</v>
      </c>
      <c r="I37" s="12">
        <f t="shared" si="2"/>
        <v>0.96401196871409578</v>
      </c>
      <c r="J37" s="12">
        <f t="shared" si="3"/>
        <v>-0.49271722845387045</v>
      </c>
      <c r="K37" s="12">
        <f t="shared" si="4"/>
        <v>-0.49271722845387045</v>
      </c>
      <c r="L37" s="12">
        <f t="shared" si="5"/>
        <v>-0.49271722845387045</v>
      </c>
    </row>
    <row r="38" spans="1:12" s="12" customFormat="1" x14ac:dyDescent="0.25">
      <c r="A38" s="13" t="s">
        <v>25</v>
      </c>
      <c r="B38" s="6" t="s">
        <v>26</v>
      </c>
      <c r="C38" s="11"/>
      <c r="D38" s="12">
        <v>4</v>
      </c>
      <c r="E38" s="12">
        <v>4</v>
      </c>
      <c r="F38" s="12">
        <v>3</v>
      </c>
      <c r="G38" s="47">
        <v>3</v>
      </c>
      <c r="I38" s="12">
        <f t="shared" si="2"/>
        <v>-0.49271722845387045</v>
      </c>
      <c r="J38" s="12">
        <f t="shared" si="3"/>
        <v>-0.49271722845387045</v>
      </c>
      <c r="K38" s="12">
        <f t="shared" si="4"/>
        <v>-1.9494464256218367</v>
      </c>
      <c r="L38" s="12">
        <f t="shared" si="5"/>
        <v>-1.9494464256218367</v>
      </c>
    </row>
    <row r="39" spans="1:12" s="12" customFormat="1" x14ac:dyDescent="0.25">
      <c r="A39" s="13" t="s">
        <v>27</v>
      </c>
      <c r="B39" s="6" t="s">
        <v>28</v>
      </c>
      <c r="C39" s="11"/>
      <c r="D39" s="12">
        <v>5</v>
      </c>
      <c r="E39" s="12">
        <v>5</v>
      </c>
      <c r="F39" s="12">
        <v>5</v>
      </c>
      <c r="G39" s="47">
        <v>4</v>
      </c>
      <c r="I39" s="12">
        <f t="shared" si="2"/>
        <v>0.96401196871409578</v>
      </c>
      <c r="J39" s="12">
        <f t="shared" si="3"/>
        <v>0.96401196871409578</v>
      </c>
      <c r="K39" s="12">
        <f t="shared" si="4"/>
        <v>0.96401196871409578</v>
      </c>
      <c r="L39" s="12">
        <f t="shared" si="5"/>
        <v>-0.49271722845387045</v>
      </c>
    </row>
    <row r="40" spans="1:12" s="12" customFormat="1" ht="31.5" x14ac:dyDescent="0.25">
      <c r="A40" s="13" t="s">
        <v>48</v>
      </c>
      <c r="B40" s="6" t="s">
        <v>49</v>
      </c>
      <c r="C40" s="11"/>
      <c r="D40" s="47">
        <v>4</v>
      </c>
      <c r="E40" s="47">
        <v>4</v>
      </c>
      <c r="F40" s="47">
        <v>3</v>
      </c>
      <c r="G40" s="47">
        <v>4</v>
      </c>
      <c r="I40" s="12">
        <f t="shared" si="2"/>
        <v>-0.49271722845387045</v>
      </c>
      <c r="J40" s="12">
        <f t="shared" si="3"/>
        <v>-0.49271722845387045</v>
      </c>
      <c r="K40" s="12">
        <f t="shared" si="4"/>
        <v>-1.9494464256218367</v>
      </c>
      <c r="L40" s="12">
        <f t="shared" si="5"/>
        <v>-0.49271722845387045</v>
      </c>
    </row>
    <row r="41" spans="1:12" s="12" customFormat="1" x14ac:dyDescent="0.25">
      <c r="A41" s="13" t="s">
        <v>76</v>
      </c>
      <c r="B41" s="6" t="s">
        <v>77</v>
      </c>
      <c r="C41" s="11"/>
      <c r="D41" s="47">
        <v>3</v>
      </c>
      <c r="E41" s="47">
        <v>2</v>
      </c>
      <c r="F41" s="47">
        <v>3</v>
      </c>
      <c r="G41" s="47">
        <v>3</v>
      </c>
      <c r="I41" s="12">
        <f t="shared" si="2"/>
        <v>-1.9494464256218367</v>
      </c>
      <c r="J41" s="12">
        <f t="shared" si="3"/>
        <v>-3.406175622789803</v>
      </c>
      <c r="K41" s="12">
        <f t="shared" si="4"/>
        <v>-1.9494464256218367</v>
      </c>
      <c r="L41" s="12">
        <f t="shared" si="5"/>
        <v>-1.9494464256218367</v>
      </c>
    </row>
    <row r="42" spans="1:12" s="12" customFormat="1" x14ac:dyDescent="0.25">
      <c r="A42" s="13" t="s">
        <v>91</v>
      </c>
      <c r="B42" s="6" t="s">
        <v>92</v>
      </c>
      <c r="C42" s="11"/>
      <c r="D42" s="47">
        <v>4</v>
      </c>
      <c r="E42" s="47">
        <v>3</v>
      </c>
      <c r="F42" s="47">
        <v>4</v>
      </c>
      <c r="G42" s="47">
        <v>4</v>
      </c>
      <c r="I42" s="12">
        <f t="shared" si="2"/>
        <v>-0.49271722845387045</v>
      </c>
      <c r="J42" s="12">
        <f t="shared" si="3"/>
        <v>-1.9494464256218367</v>
      </c>
      <c r="K42" s="12">
        <f t="shared" si="4"/>
        <v>-0.49271722845387045</v>
      </c>
      <c r="L42" s="12">
        <f t="shared" si="5"/>
        <v>-0.49271722845387045</v>
      </c>
    </row>
    <row r="43" spans="1:12" s="12" customFormat="1" x14ac:dyDescent="0.25">
      <c r="A43" s="13" t="s">
        <v>95</v>
      </c>
      <c r="B43" s="6" t="s">
        <v>96</v>
      </c>
      <c r="C43" s="11"/>
      <c r="D43" s="47">
        <v>5</v>
      </c>
      <c r="E43" s="47">
        <v>3</v>
      </c>
      <c r="F43" s="47">
        <v>5</v>
      </c>
      <c r="G43" s="47">
        <v>4</v>
      </c>
      <c r="I43" s="12">
        <f t="shared" si="2"/>
        <v>0.96401196871409578</v>
      </c>
      <c r="J43" s="12">
        <f t="shared" si="3"/>
        <v>-1.9494464256218367</v>
      </c>
      <c r="K43" s="12">
        <f t="shared" si="4"/>
        <v>0.96401196871409578</v>
      </c>
      <c r="L43" s="12">
        <f t="shared" si="5"/>
        <v>-0.49271722845387045</v>
      </c>
    </row>
    <row r="44" spans="1:12" s="12" customFormat="1" x14ac:dyDescent="0.25">
      <c r="A44" s="13" t="s">
        <v>115</v>
      </c>
      <c r="B44" s="6" t="s">
        <v>116</v>
      </c>
      <c r="C44" s="11"/>
      <c r="D44" s="47">
        <v>5</v>
      </c>
      <c r="E44" s="47">
        <v>5</v>
      </c>
      <c r="F44" s="47">
        <v>5</v>
      </c>
      <c r="G44" s="47">
        <v>5</v>
      </c>
      <c r="I44" s="12">
        <f t="shared" si="2"/>
        <v>0.96401196871409578</v>
      </c>
      <c r="J44" s="12">
        <f t="shared" si="3"/>
        <v>0.96401196871409578</v>
      </c>
      <c r="K44" s="12">
        <f t="shared" si="4"/>
        <v>0.96401196871409578</v>
      </c>
      <c r="L44" s="12">
        <f t="shared" si="5"/>
        <v>0.96401196871409578</v>
      </c>
    </row>
    <row r="45" spans="1:12" s="12" customFormat="1" x14ac:dyDescent="0.25">
      <c r="A45" s="13" t="s">
        <v>117</v>
      </c>
      <c r="B45" s="6" t="s">
        <v>118</v>
      </c>
      <c r="C45" s="11"/>
      <c r="D45" s="47">
        <v>5</v>
      </c>
      <c r="E45" s="47">
        <v>4</v>
      </c>
      <c r="F45" s="47">
        <v>4</v>
      </c>
      <c r="G45" s="47">
        <v>4</v>
      </c>
      <c r="I45" s="12">
        <f t="shared" si="2"/>
        <v>0.96401196871409578</v>
      </c>
      <c r="J45" s="12">
        <f t="shared" si="3"/>
        <v>-0.49271722845387045</v>
      </c>
      <c r="K45" s="12">
        <f t="shared" si="4"/>
        <v>-0.49271722845387045</v>
      </c>
      <c r="L45" s="12">
        <f t="shared" si="5"/>
        <v>-0.49271722845387045</v>
      </c>
    </row>
    <row r="46" spans="1:12" s="12" customFormat="1" x14ac:dyDescent="0.25">
      <c r="A46" s="6" t="s">
        <v>136</v>
      </c>
      <c r="B46" s="6" t="s">
        <v>137</v>
      </c>
      <c r="C46" s="17"/>
      <c r="D46" s="47">
        <v>4</v>
      </c>
      <c r="E46" s="47">
        <v>4</v>
      </c>
      <c r="F46" s="47">
        <v>5</v>
      </c>
      <c r="G46" s="47">
        <v>4</v>
      </c>
      <c r="I46" s="12">
        <f t="shared" si="2"/>
        <v>-0.49271722845387045</v>
      </c>
      <c r="J46" s="12">
        <f t="shared" si="3"/>
        <v>-0.49271722845387045</v>
      </c>
      <c r="K46" s="12">
        <f t="shared" si="4"/>
        <v>0.96401196871409578</v>
      </c>
      <c r="L46" s="12">
        <f t="shared" si="5"/>
        <v>-0.49271722845387045</v>
      </c>
    </row>
    <row r="47" spans="1:12" s="12" customFormat="1" x14ac:dyDescent="0.25">
      <c r="A47" s="6"/>
      <c r="B47" s="6"/>
    </row>
    <row r="48" spans="1:12" s="12" customFormat="1" x14ac:dyDescent="0.25">
      <c r="A48" s="1" t="s">
        <v>2</v>
      </c>
      <c r="B48" s="7"/>
      <c r="C48" s="7"/>
    </row>
    <row r="49" spans="1:12" s="12" customFormat="1" x14ac:dyDescent="0.25">
      <c r="A49" s="13" t="s">
        <v>40</v>
      </c>
      <c r="B49" s="6" t="s">
        <v>41</v>
      </c>
      <c r="C49" s="11"/>
      <c r="D49" s="47">
        <v>5</v>
      </c>
      <c r="E49" s="47">
        <v>4</v>
      </c>
      <c r="F49" s="47">
        <v>4</v>
      </c>
      <c r="G49" s="47">
        <v>4</v>
      </c>
      <c r="I49" s="12">
        <f t="shared" si="2"/>
        <v>0.96401196871409578</v>
      </c>
      <c r="J49" s="12">
        <f t="shared" si="3"/>
        <v>-0.49271722845387045</v>
      </c>
      <c r="K49" s="12">
        <f t="shared" si="4"/>
        <v>-0.49271722845387045</v>
      </c>
      <c r="L49" s="12">
        <f t="shared" si="5"/>
        <v>-0.49271722845387045</v>
      </c>
    </row>
    <row r="50" spans="1:12" s="12" customFormat="1" x14ac:dyDescent="0.25">
      <c r="A50" s="13" t="s">
        <v>64</v>
      </c>
      <c r="B50" s="6" t="s">
        <v>65</v>
      </c>
      <c r="C50" s="11"/>
      <c r="D50" s="47">
        <v>4</v>
      </c>
      <c r="E50" s="47">
        <v>5</v>
      </c>
      <c r="F50" s="47">
        <v>4</v>
      </c>
      <c r="G50" s="47">
        <v>5</v>
      </c>
      <c r="I50" s="12">
        <f t="shared" si="2"/>
        <v>-0.49271722845387045</v>
      </c>
      <c r="J50" s="12">
        <f t="shared" si="3"/>
        <v>0.96401196871409578</v>
      </c>
      <c r="K50" s="12">
        <f t="shared" si="4"/>
        <v>-0.49271722845387045</v>
      </c>
      <c r="L50" s="12">
        <f t="shared" si="5"/>
        <v>0.96401196871409578</v>
      </c>
    </row>
    <row r="51" spans="1:12" s="12" customFormat="1" x14ac:dyDescent="0.25">
      <c r="A51" s="13" t="s">
        <v>99</v>
      </c>
      <c r="B51" s="6" t="s">
        <v>100</v>
      </c>
      <c r="C51" s="11"/>
      <c r="D51" s="47">
        <v>5</v>
      </c>
      <c r="E51" s="47">
        <v>4</v>
      </c>
      <c r="F51" s="47">
        <v>5</v>
      </c>
      <c r="G51" s="47">
        <v>4</v>
      </c>
      <c r="I51" s="12">
        <f t="shared" si="2"/>
        <v>0.96401196871409578</v>
      </c>
      <c r="J51" s="12">
        <f t="shared" si="3"/>
        <v>-0.49271722845387045</v>
      </c>
      <c r="K51" s="12">
        <f t="shared" si="4"/>
        <v>0.96401196871409578</v>
      </c>
      <c r="L51" s="12">
        <f t="shared" si="5"/>
        <v>-0.49271722845387045</v>
      </c>
    </row>
    <row r="52" spans="1:12" s="12" customFormat="1" x14ac:dyDescent="0.25">
      <c r="A52" s="13" t="s">
        <v>103</v>
      </c>
      <c r="B52" s="6" t="s">
        <v>104</v>
      </c>
      <c r="C52" s="11"/>
      <c r="D52" s="12">
        <v>5</v>
      </c>
      <c r="E52" s="12">
        <v>5</v>
      </c>
      <c r="F52" s="12">
        <v>5</v>
      </c>
      <c r="G52" s="47">
        <v>5</v>
      </c>
      <c r="I52" s="12">
        <f t="shared" si="2"/>
        <v>0.96401196871409578</v>
      </c>
      <c r="J52" s="12">
        <f t="shared" si="3"/>
        <v>0.96401196871409578</v>
      </c>
      <c r="K52" s="12">
        <f t="shared" si="4"/>
        <v>0.96401196871409578</v>
      </c>
      <c r="L52" s="12">
        <f t="shared" si="5"/>
        <v>0.96401196871409578</v>
      </c>
    </row>
    <row r="53" spans="1:12" s="12" customFormat="1" ht="31.5" x14ac:dyDescent="0.25">
      <c r="A53" s="13" t="s">
        <v>113</v>
      </c>
      <c r="B53" s="6" t="s">
        <v>114</v>
      </c>
      <c r="C53" s="11"/>
      <c r="D53" s="12">
        <v>5</v>
      </c>
      <c r="E53" s="12">
        <v>4</v>
      </c>
      <c r="F53" s="12">
        <v>4</v>
      </c>
      <c r="G53" s="47">
        <v>4</v>
      </c>
      <c r="I53" s="12">
        <f t="shared" si="2"/>
        <v>0.96401196871409578</v>
      </c>
      <c r="J53" s="12">
        <f t="shared" si="3"/>
        <v>-0.49271722845387045</v>
      </c>
      <c r="K53" s="12">
        <f t="shared" si="4"/>
        <v>-0.49271722845387045</v>
      </c>
      <c r="L53" s="12">
        <f t="shared" si="5"/>
        <v>-0.49271722845387045</v>
      </c>
    </row>
    <row r="54" spans="1:12" s="12" customFormat="1" ht="31.5" x14ac:dyDescent="0.25">
      <c r="A54" s="13" t="s">
        <v>119</v>
      </c>
      <c r="B54" s="6" t="s">
        <v>120</v>
      </c>
      <c r="C54" s="11"/>
      <c r="D54" s="12">
        <v>4</v>
      </c>
      <c r="E54" s="12">
        <v>4</v>
      </c>
      <c r="F54" s="12">
        <v>4</v>
      </c>
      <c r="G54" s="47">
        <v>3</v>
      </c>
      <c r="I54" s="12">
        <f t="shared" si="2"/>
        <v>-0.49271722845387045</v>
      </c>
      <c r="J54" s="12">
        <f t="shared" si="3"/>
        <v>-0.49271722845387045</v>
      </c>
      <c r="K54" s="12">
        <f t="shared" si="4"/>
        <v>-0.49271722845387045</v>
      </c>
      <c r="L54" s="12">
        <f t="shared" si="5"/>
        <v>-1.9494464256218367</v>
      </c>
    </row>
    <row r="55" spans="1:12" s="12" customFormat="1" x14ac:dyDescent="0.25">
      <c r="A55" s="6" t="s">
        <v>161</v>
      </c>
      <c r="B55" s="6" t="s">
        <v>162</v>
      </c>
      <c r="C55" s="17"/>
      <c r="D55" s="12">
        <v>5</v>
      </c>
      <c r="E55" s="12">
        <v>5</v>
      </c>
      <c r="F55" s="12">
        <v>4</v>
      </c>
      <c r="G55" s="47">
        <v>4</v>
      </c>
      <c r="I55" s="12">
        <f t="shared" si="2"/>
        <v>0.96401196871409578</v>
      </c>
      <c r="J55" s="12">
        <f t="shared" si="3"/>
        <v>0.96401196871409578</v>
      </c>
      <c r="K55" s="12">
        <f t="shared" si="4"/>
        <v>-0.49271722845387045</v>
      </c>
      <c r="L55" s="12">
        <f t="shared" si="5"/>
        <v>-0.49271722845387045</v>
      </c>
    </row>
    <row r="56" spans="1:12" s="12" customFormat="1" ht="16.5" thickBot="1" x14ac:dyDescent="0.3"/>
    <row r="57" spans="1:12" s="73" customFormat="1" ht="17.25" thickTop="1" thickBot="1" x14ac:dyDescent="0.3">
      <c r="A57" s="73" t="s">
        <v>18</v>
      </c>
      <c r="I57" s="12"/>
      <c r="J57" s="12"/>
      <c r="K57" s="12"/>
      <c r="L57" s="12"/>
    </row>
    <row r="58" spans="1:12" s="73" customFormat="1" ht="31.5" thickTop="1" thickBot="1" x14ac:dyDescent="0.3">
      <c r="A58" s="74" t="s">
        <v>29</v>
      </c>
      <c r="B58" s="73" t="s">
        <v>30</v>
      </c>
      <c r="I58" s="12"/>
      <c r="J58" s="12"/>
      <c r="K58" s="12"/>
      <c r="L58" s="12"/>
    </row>
    <row r="59" spans="1:12" s="73" customFormat="1" ht="17.25" thickTop="1" thickBot="1" x14ac:dyDescent="0.3">
      <c r="A59" s="74" t="s">
        <v>66</v>
      </c>
      <c r="B59" s="73" t="s">
        <v>24</v>
      </c>
      <c r="I59" s="12"/>
      <c r="J59" s="12"/>
      <c r="K59" s="12"/>
      <c r="L59" s="12"/>
    </row>
    <row r="60" spans="1:12" s="73" customFormat="1" ht="17.25" thickTop="1" thickBot="1" x14ac:dyDescent="0.3">
      <c r="A60" s="74" t="s">
        <v>67</v>
      </c>
      <c r="B60" s="73" t="s">
        <v>55</v>
      </c>
      <c r="I60" s="12"/>
      <c r="J60" s="12"/>
      <c r="K60" s="12"/>
      <c r="L60" s="12"/>
    </row>
    <row r="61" spans="1:12" s="73" customFormat="1" ht="17.25" thickTop="1" thickBot="1" x14ac:dyDescent="0.3">
      <c r="A61" s="74" t="s">
        <v>89</v>
      </c>
      <c r="B61" s="73" t="s">
        <v>90</v>
      </c>
      <c r="I61" s="12"/>
      <c r="J61" s="12"/>
      <c r="K61" s="12"/>
      <c r="L61" s="12"/>
    </row>
    <row r="62" spans="1:12" s="73" customFormat="1" ht="17.25" thickTop="1" thickBot="1" x14ac:dyDescent="0.3">
      <c r="A62" s="74" t="s">
        <v>125</v>
      </c>
      <c r="B62" s="73" t="s">
        <v>126</v>
      </c>
      <c r="I62" s="12"/>
      <c r="J62" s="12"/>
      <c r="K62" s="12"/>
      <c r="L62" s="12"/>
    </row>
    <row r="63" spans="1:12" s="73" customFormat="1" ht="17.25" thickTop="1" thickBot="1" x14ac:dyDescent="0.3">
      <c r="A63" s="74" t="s">
        <v>127</v>
      </c>
      <c r="B63" s="73" t="s">
        <v>128</v>
      </c>
      <c r="I63" s="12"/>
      <c r="J63" s="12"/>
      <c r="K63" s="12"/>
      <c r="L63" s="12"/>
    </row>
    <row r="64" spans="1:12" s="73" customFormat="1" ht="17.25" thickTop="1" thickBot="1" x14ac:dyDescent="0.3">
      <c r="A64" s="74" t="s">
        <v>129</v>
      </c>
      <c r="B64" s="73" t="s">
        <v>130</v>
      </c>
      <c r="I64" s="12"/>
      <c r="J64" s="12"/>
      <c r="K64" s="12"/>
      <c r="L64" s="12"/>
    </row>
    <row r="65" spans="1:12" s="73" customFormat="1" ht="17.25" thickTop="1" thickBot="1" x14ac:dyDescent="0.3">
      <c r="A65" s="73" t="s">
        <v>138</v>
      </c>
      <c r="B65" s="73" t="s">
        <v>139</v>
      </c>
      <c r="C65" s="75"/>
      <c r="I65" s="12"/>
      <c r="J65" s="12"/>
      <c r="K65" s="12"/>
      <c r="L65" s="12"/>
    </row>
    <row r="66" spans="1:12" s="73" customFormat="1" ht="17.25" thickTop="1" thickBot="1" x14ac:dyDescent="0.3">
      <c r="A66" s="73" t="s">
        <v>140</v>
      </c>
      <c r="B66" s="73" t="s">
        <v>141</v>
      </c>
      <c r="I66" s="12"/>
      <c r="J66" s="12"/>
      <c r="K66" s="12"/>
      <c r="L66" s="12"/>
    </row>
    <row r="67" spans="1:12" s="73" customFormat="1" ht="17.25" thickTop="1" thickBot="1" x14ac:dyDescent="0.3">
      <c r="A67" s="73" t="s">
        <v>151</v>
      </c>
      <c r="B67" s="73" t="s">
        <v>152</v>
      </c>
      <c r="C67" s="75"/>
      <c r="I67" s="12"/>
      <c r="J67" s="12"/>
      <c r="K67" s="12"/>
      <c r="L67" s="12"/>
    </row>
    <row r="68" spans="1:12" s="73" customFormat="1" ht="17.25" thickTop="1" thickBot="1" x14ac:dyDescent="0.3">
      <c r="A68" s="73" t="s">
        <v>157</v>
      </c>
      <c r="B68" s="73" t="s">
        <v>158</v>
      </c>
      <c r="C68" s="75"/>
      <c r="I68" s="12"/>
      <c r="J68" s="12"/>
      <c r="K68" s="12"/>
      <c r="L68" s="12"/>
    </row>
    <row r="69" spans="1:12" s="73" customFormat="1" ht="17.25" thickTop="1" thickBot="1" x14ac:dyDescent="0.3">
      <c r="A69" s="73" t="s">
        <v>159</v>
      </c>
      <c r="B69" s="73" t="s">
        <v>160</v>
      </c>
      <c r="C69" s="75"/>
      <c r="I69" s="12"/>
      <c r="J69" s="12"/>
      <c r="K69" s="12"/>
      <c r="L69" s="12"/>
    </row>
    <row r="70" spans="1:12" s="73" customFormat="1" ht="17.25" thickTop="1" thickBot="1" x14ac:dyDescent="0.3">
      <c r="A70" s="73" t="s">
        <v>168</v>
      </c>
      <c r="B70" s="73" t="s">
        <v>169</v>
      </c>
      <c r="C70" s="75"/>
      <c r="I70" s="12"/>
      <c r="J70" s="12"/>
      <c r="K70" s="12"/>
      <c r="L70" s="12"/>
    </row>
    <row r="71" spans="1:12" s="12" customFormat="1" ht="16.5" thickTop="1" x14ac:dyDescent="0.25">
      <c r="A71" s="6"/>
      <c r="B71" s="6"/>
      <c r="C71" s="11"/>
    </row>
    <row r="72" spans="1:12" s="12" customFormat="1" x14ac:dyDescent="0.25">
      <c r="A72" s="1" t="s">
        <v>19</v>
      </c>
      <c r="B72" s="11"/>
      <c r="C72" s="11"/>
    </row>
    <row r="73" spans="1:12" s="12" customFormat="1" x14ac:dyDescent="0.25">
      <c r="A73" s="13" t="s">
        <v>46</v>
      </c>
      <c r="B73" s="6" t="s">
        <v>47</v>
      </c>
      <c r="C73" s="11"/>
      <c r="D73" s="12">
        <v>5</v>
      </c>
      <c r="E73" s="12">
        <v>5</v>
      </c>
      <c r="F73" s="12">
        <v>5</v>
      </c>
      <c r="G73" s="47">
        <v>5</v>
      </c>
      <c r="I73" s="12">
        <f t="shared" ref="I73:I78" si="6">STANDARDIZE(D73,$I$1,$K$1)</f>
        <v>0.96401196871409578</v>
      </c>
      <c r="J73" s="12">
        <f t="shared" ref="J73:J78" si="7">STANDARDIZE(E73,$I$1,$K$1)</f>
        <v>0.96401196871409578</v>
      </c>
      <c r="K73" s="12">
        <f t="shared" ref="K73:K78" si="8">STANDARDIZE(F73,$I$1,$K$1)</f>
        <v>0.96401196871409578</v>
      </c>
      <c r="L73" s="12">
        <f t="shared" ref="L73:L78" si="9">STANDARDIZE(G73,$I$1,$K$1)</f>
        <v>0.96401196871409578</v>
      </c>
    </row>
    <row r="74" spans="1:12" s="12" customFormat="1" x14ac:dyDescent="0.25">
      <c r="A74" s="6" t="s">
        <v>142</v>
      </c>
      <c r="B74" s="6" t="s">
        <v>143</v>
      </c>
      <c r="C74" s="17"/>
      <c r="D74" s="12">
        <v>5</v>
      </c>
      <c r="E74" s="12">
        <v>4</v>
      </c>
      <c r="F74" s="12">
        <v>5</v>
      </c>
      <c r="G74" s="47">
        <v>5</v>
      </c>
      <c r="I74" s="12">
        <f t="shared" si="6"/>
        <v>0.96401196871409578</v>
      </c>
      <c r="J74" s="12">
        <f t="shared" si="7"/>
        <v>-0.49271722845387045</v>
      </c>
      <c r="K74" s="12">
        <f t="shared" si="8"/>
        <v>0.96401196871409578</v>
      </c>
      <c r="L74" s="12">
        <f t="shared" si="9"/>
        <v>0.96401196871409578</v>
      </c>
    </row>
    <row r="75" spans="1:12" s="12" customFormat="1" x14ac:dyDescent="0.25">
      <c r="A75" s="6" t="s">
        <v>144</v>
      </c>
      <c r="B75" s="6" t="s">
        <v>55</v>
      </c>
      <c r="C75" s="17"/>
      <c r="D75">
        <v>5</v>
      </c>
      <c r="E75">
        <v>5</v>
      </c>
      <c r="F75">
        <v>4</v>
      </c>
      <c r="G75">
        <v>4</v>
      </c>
      <c r="H75"/>
      <c r="I75" s="12">
        <f t="shared" si="6"/>
        <v>0.96401196871409578</v>
      </c>
      <c r="J75" s="12">
        <f t="shared" si="7"/>
        <v>0.96401196871409578</v>
      </c>
      <c r="K75" s="12">
        <f t="shared" si="8"/>
        <v>-0.49271722845387045</v>
      </c>
      <c r="L75" s="12">
        <f t="shared" si="9"/>
        <v>-0.49271722845387045</v>
      </c>
    </row>
    <row r="76" spans="1:12" s="12" customFormat="1" x14ac:dyDescent="0.25">
      <c r="A76" s="6" t="s">
        <v>147</v>
      </c>
      <c r="B76" s="6" t="s">
        <v>148</v>
      </c>
      <c r="C76" s="17"/>
      <c r="D76">
        <v>5</v>
      </c>
      <c r="E76">
        <v>5</v>
      </c>
      <c r="F76">
        <v>5</v>
      </c>
      <c r="G76">
        <v>4</v>
      </c>
      <c r="H76"/>
      <c r="I76" s="12">
        <f t="shared" si="6"/>
        <v>0.96401196871409578</v>
      </c>
      <c r="J76" s="12">
        <f t="shared" si="7"/>
        <v>0.96401196871409578</v>
      </c>
      <c r="K76" s="12">
        <f t="shared" si="8"/>
        <v>0.96401196871409578</v>
      </c>
      <c r="L76" s="12">
        <f t="shared" si="9"/>
        <v>-0.49271722845387045</v>
      </c>
    </row>
    <row r="77" spans="1:12" s="12" customFormat="1" x14ac:dyDescent="0.25">
      <c r="A77" s="6" t="s">
        <v>149</v>
      </c>
      <c r="B77" s="6" t="s">
        <v>150</v>
      </c>
      <c r="C77" s="17"/>
      <c r="D77">
        <v>4</v>
      </c>
      <c r="E77">
        <v>5</v>
      </c>
      <c r="F77">
        <v>5</v>
      </c>
      <c r="G77">
        <v>4</v>
      </c>
      <c r="H77"/>
      <c r="I77" s="12">
        <f t="shared" si="6"/>
        <v>-0.49271722845387045</v>
      </c>
      <c r="J77" s="12">
        <f t="shared" si="7"/>
        <v>0.96401196871409578</v>
      </c>
      <c r="K77" s="12">
        <f t="shared" si="8"/>
        <v>0.96401196871409578</v>
      </c>
      <c r="L77" s="12">
        <f t="shared" si="9"/>
        <v>-0.49271722845387045</v>
      </c>
    </row>
    <row r="78" spans="1:12" s="12" customFormat="1" x14ac:dyDescent="0.25">
      <c r="A78" s="6" t="s">
        <v>155</v>
      </c>
      <c r="B78" s="6" t="s">
        <v>156</v>
      </c>
      <c r="C78" s="17"/>
      <c r="D78" s="12">
        <v>5</v>
      </c>
      <c r="E78" s="12">
        <v>5</v>
      </c>
      <c r="F78" s="12">
        <v>5</v>
      </c>
      <c r="G78" s="47">
        <v>5</v>
      </c>
      <c r="H78"/>
      <c r="I78" s="12">
        <f t="shared" si="6"/>
        <v>0.96401196871409578</v>
      </c>
      <c r="J78" s="12">
        <f t="shared" si="7"/>
        <v>0.96401196871409578</v>
      </c>
      <c r="K78" s="12">
        <f t="shared" si="8"/>
        <v>0.96401196871409578</v>
      </c>
      <c r="L78" s="12">
        <f t="shared" si="9"/>
        <v>0.96401196871409578</v>
      </c>
    </row>
    <row r="79" spans="1:12" s="12" customFormat="1" ht="16.5" thickBot="1" x14ac:dyDescent="0.3">
      <c r="A79" s="11"/>
      <c r="B79" s="11"/>
      <c r="C79" s="11"/>
    </row>
    <row r="80" spans="1:12" s="73" customFormat="1" ht="16.5" thickTop="1" thickBot="1" x14ac:dyDescent="0.3">
      <c r="A80" s="73" t="s">
        <v>20</v>
      </c>
    </row>
    <row r="81" spans="1:7" s="73" customFormat="1" ht="16.5" thickTop="1" thickBot="1" x14ac:dyDescent="0.3">
      <c r="A81" s="74" t="s">
        <v>34</v>
      </c>
      <c r="B81" s="73" t="s">
        <v>35</v>
      </c>
    </row>
    <row r="82" spans="1:7" s="73" customFormat="1" ht="16.5" thickTop="1" thickBot="1" x14ac:dyDescent="0.3">
      <c r="A82" s="74" t="s">
        <v>52</v>
      </c>
      <c r="B82" s="73" t="s">
        <v>53</v>
      </c>
    </row>
    <row r="83" spans="1:7" s="73" customFormat="1" ht="16.5" thickTop="1" thickBot="1" x14ac:dyDescent="0.3">
      <c r="A83" s="74" t="s">
        <v>58</v>
      </c>
      <c r="B83" s="73" t="s">
        <v>59</v>
      </c>
    </row>
    <row r="84" spans="1:7" s="73" customFormat="1" ht="16.5" thickTop="1" thickBot="1" x14ac:dyDescent="0.3">
      <c r="A84" s="74" t="s">
        <v>62</v>
      </c>
      <c r="B84" s="73" t="s">
        <v>63</v>
      </c>
    </row>
    <row r="85" spans="1:7" s="73" customFormat="1" ht="16.5" thickTop="1" thickBot="1" x14ac:dyDescent="0.3">
      <c r="A85" s="74" t="s">
        <v>68</v>
      </c>
      <c r="B85" s="73" t="s">
        <v>69</v>
      </c>
    </row>
    <row r="86" spans="1:7" s="73" customFormat="1" ht="16.5" thickTop="1" thickBot="1" x14ac:dyDescent="0.3">
      <c r="A86" s="74" t="s">
        <v>72</v>
      </c>
      <c r="B86" s="73" t="s">
        <v>73</v>
      </c>
    </row>
    <row r="87" spans="1:7" s="73" customFormat="1" ht="16.5" thickTop="1" thickBot="1" x14ac:dyDescent="0.3">
      <c r="A87" s="74" t="s">
        <v>74</v>
      </c>
      <c r="B87" s="73" t="s">
        <v>75</v>
      </c>
    </row>
    <row r="88" spans="1:7" s="73" customFormat="1" ht="16.5" thickTop="1" thickBot="1" x14ac:dyDescent="0.3">
      <c r="A88" s="74" t="s">
        <v>83</v>
      </c>
      <c r="B88" s="73" t="s">
        <v>84</v>
      </c>
    </row>
    <row r="89" spans="1:7" s="73" customFormat="1" ht="16.5" thickTop="1" thickBot="1" x14ac:dyDescent="0.3">
      <c r="A89" s="74" t="s">
        <v>87</v>
      </c>
      <c r="B89" s="73" t="s">
        <v>88</v>
      </c>
    </row>
    <row r="90" spans="1:7" s="73" customFormat="1" ht="16.5" thickTop="1" thickBot="1" x14ac:dyDescent="0.3">
      <c r="A90" s="74" t="s">
        <v>93</v>
      </c>
      <c r="B90" s="73" t="s">
        <v>94</v>
      </c>
    </row>
    <row r="91" spans="1:7" s="73" customFormat="1" ht="16.5" thickTop="1" thickBot="1" x14ac:dyDescent="0.3">
      <c r="A91" s="74" t="s">
        <v>105</v>
      </c>
      <c r="B91" s="73" t="s">
        <v>106</v>
      </c>
    </row>
    <row r="92" spans="1:7" s="73" customFormat="1" ht="16.5" thickTop="1" thickBot="1" x14ac:dyDescent="0.3">
      <c r="A92" s="73" t="s">
        <v>131</v>
      </c>
      <c r="B92" s="73" t="s">
        <v>57</v>
      </c>
    </row>
    <row r="93" spans="1:7" s="73" customFormat="1" ht="16.5" thickTop="1" thickBot="1" x14ac:dyDescent="0.3">
      <c r="A93" s="73" t="s">
        <v>132</v>
      </c>
      <c r="B93" s="73" t="s">
        <v>133</v>
      </c>
    </row>
    <row r="94" spans="1:7" s="12" customFormat="1" ht="16.5" thickTop="1" x14ac:dyDescent="0.25"/>
    <row r="95" spans="1:7" x14ac:dyDescent="0.25">
      <c r="A95" s="8" t="s">
        <v>8</v>
      </c>
      <c r="B95" s="9"/>
      <c r="C95" s="15"/>
      <c r="D95" s="9"/>
      <c r="E95" s="9"/>
      <c r="F95" s="9"/>
      <c r="G95" s="9"/>
    </row>
    <row r="96" spans="1:7" x14ac:dyDescent="0.25">
      <c r="A96" s="5" t="s">
        <v>9</v>
      </c>
      <c r="C96" s="12"/>
    </row>
    <row r="97" spans="1:3" x14ac:dyDescent="0.25">
      <c r="A97" s="5" t="s">
        <v>10</v>
      </c>
      <c r="C97" s="12"/>
    </row>
    <row r="98" spans="1:3" x14ac:dyDescent="0.25">
      <c r="A98" s="5" t="s">
        <v>11</v>
      </c>
      <c r="C98" s="12"/>
    </row>
    <row r="99" spans="1:3" x14ac:dyDescent="0.25">
      <c r="A99" s="5" t="s">
        <v>12</v>
      </c>
      <c r="C99" s="12"/>
    </row>
    <row r="100" spans="1:3" x14ac:dyDescent="0.25">
      <c r="A100" s="5" t="s">
        <v>13</v>
      </c>
      <c r="C100" s="12"/>
    </row>
    <row r="101" spans="1:3" x14ac:dyDescent="0.25">
      <c r="C101" s="12"/>
    </row>
    <row r="102" spans="1:3" x14ac:dyDescent="0.25">
      <c r="C102" s="12"/>
    </row>
    <row r="103" spans="1:3" x14ac:dyDescent="0.25">
      <c r="C103" s="12"/>
    </row>
    <row r="104" spans="1:3" x14ac:dyDescent="0.25">
      <c r="C104" s="12"/>
    </row>
    <row r="105" spans="1:3" x14ac:dyDescent="0.25">
      <c r="C105" s="12"/>
    </row>
    <row r="106" spans="1:3" x14ac:dyDescent="0.25">
      <c r="C106" s="12"/>
    </row>
    <row r="107" spans="1:3" x14ac:dyDescent="0.25">
      <c r="C107" s="12"/>
    </row>
    <row r="108" spans="1:3" x14ac:dyDescent="0.25">
      <c r="C108" s="12"/>
    </row>
    <row r="109" spans="1:3" x14ac:dyDescent="0.25">
      <c r="C109" s="12"/>
    </row>
    <row r="110" spans="1:3" x14ac:dyDescent="0.25">
      <c r="C110" s="12"/>
    </row>
    <row r="111" spans="1:3" x14ac:dyDescent="0.25">
      <c r="C111" s="12"/>
    </row>
    <row r="112" spans="1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12">
    <mergeCell ref="I2:L2"/>
    <mergeCell ref="I7:I8"/>
    <mergeCell ref="J7:J8"/>
    <mergeCell ref="K7:K8"/>
    <mergeCell ref="L7:L8"/>
    <mergeCell ref="B1:G1"/>
    <mergeCell ref="D2:G2"/>
    <mergeCell ref="C7:C8"/>
    <mergeCell ref="D7:D8"/>
    <mergeCell ref="E7:E8"/>
    <mergeCell ref="F7:F8"/>
    <mergeCell ref="G7:G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A59" workbookViewId="0">
      <selection activeCell="A34" sqref="A34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</cols>
  <sheetData>
    <row r="1" spans="1:12" x14ac:dyDescent="0.25">
      <c r="A1" s="1" t="s">
        <v>14</v>
      </c>
      <c r="B1" s="104" t="s">
        <v>196</v>
      </c>
      <c r="C1" s="104"/>
      <c r="D1" s="104"/>
      <c r="E1" s="104"/>
      <c r="F1" s="104"/>
      <c r="G1" s="104"/>
      <c r="H1" t="s">
        <v>174</v>
      </c>
      <c r="I1">
        <f>AVERAGE(D6:G78)</f>
        <v>4.1078431372549016</v>
      </c>
      <c r="J1" t="s">
        <v>177</v>
      </c>
      <c r="K1">
        <f>_xlfn.STDEV.S(D6:G78)</f>
        <v>0.69348641215549112</v>
      </c>
    </row>
    <row r="2" spans="1:12" x14ac:dyDescent="0.25">
      <c r="D2" s="102" t="s">
        <v>16</v>
      </c>
      <c r="E2" s="102"/>
      <c r="F2" s="102"/>
      <c r="G2" s="102"/>
      <c r="I2" s="103" t="s">
        <v>213</v>
      </c>
      <c r="J2" s="103"/>
      <c r="K2" s="103"/>
      <c r="L2" s="103"/>
    </row>
    <row r="3" spans="1:12" s="2" customFormat="1" ht="18.75" x14ac:dyDescent="0.3">
      <c r="A3" s="3" t="s">
        <v>3</v>
      </c>
      <c r="B3" s="3" t="s">
        <v>4</v>
      </c>
      <c r="C3" s="3" t="s">
        <v>17</v>
      </c>
      <c r="D3" s="10" t="s">
        <v>15</v>
      </c>
      <c r="E3" s="3" t="s">
        <v>7</v>
      </c>
      <c r="F3" s="3" t="s">
        <v>5</v>
      </c>
      <c r="G3" s="3" t="s">
        <v>6</v>
      </c>
      <c r="I3" s="3" t="str">
        <f>D3</f>
        <v>Актуальность темы</v>
      </c>
      <c r="J3" s="3" t="str">
        <f t="shared" ref="J3:L3" si="0">E3</f>
        <v>Научная состовляющая</v>
      </c>
      <c r="K3" s="3" t="str">
        <f t="shared" si="0"/>
        <v>Доступность изложения</v>
      </c>
      <c r="L3" s="3" t="str">
        <f t="shared" si="0"/>
        <v>Авторский стиль</v>
      </c>
    </row>
    <row r="4" spans="1:12" s="2" customFormat="1" ht="18.75" x14ac:dyDescent="0.3">
      <c r="A4" s="4"/>
      <c r="B4" s="4"/>
      <c r="C4" s="16"/>
      <c r="D4" s="4"/>
      <c r="E4" s="4"/>
      <c r="F4" s="4"/>
      <c r="G4" s="4"/>
    </row>
    <row r="5" spans="1:12" s="12" customFormat="1" x14ac:dyDescent="0.25">
      <c r="A5" s="1" t="s">
        <v>0</v>
      </c>
    </row>
    <row r="6" spans="1:12" s="12" customFormat="1" x14ac:dyDescent="0.25">
      <c r="A6" s="13" t="s">
        <v>21</v>
      </c>
      <c r="B6" s="6" t="s">
        <v>22</v>
      </c>
      <c r="C6" s="11"/>
      <c r="D6" s="12">
        <v>4</v>
      </c>
      <c r="E6" s="12">
        <v>4</v>
      </c>
      <c r="F6" s="12">
        <v>5</v>
      </c>
      <c r="G6" s="47">
        <v>4</v>
      </c>
      <c r="I6" s="12">
        <f>STANDARDIZE(D6,$I$1,$K$1)</f>
        <v>-0.15550865217344931</v>
      </c>
      <c r="J6" s="12">
        <f t="shared" ref="J6:L6" si="1">STANDARDIZE(E6,$I$1,$K$1)</f>
        <v>-0.15550865217344931</v>
      </c>
      <c r="K6" s="12">
        <f t="shared" si="1"/>
        <v>1.2864806679803584</v>
      </c>
      <c r="L6" s="12">
        <f t="shared" si="1"/>
        <v>-0.15550865217344931</v>
      </c>
    </row>
    <row r="7" spans="1:12" s="12" customFormat="1" x14ac:dyDescent="0.25">
      <c r="A7" s="14" t="s">
        <v>31</v>
      </c>
      <c r="B7" s="6" t="s">
        <v>32</v>
      </c>
      <c r="C7" s="105"/>
      <c r="D7" s="100">
        <v>4</v>
      </c>
      <c r="E7" s="100">
        <v>4</v>
      </c>
      <c r="F7" s="100">
        <v>4</v>
      </c>
      <c r="G7" s="100">
        <v>4</v>
      </c>
      <c r="I7" s="100">
        <f t="shared" ref="I7:I55" si="2">STANDARDIZE(D7,$I$1,$K$1)</f>
        <v>-0.15550865217344931</v>
      </c>
      <c r="J7" s="100">
        <f t="shared" ref="J7:J55" si="3">STANDARDIZE(E7,$I$1,$K$1)</f>
        <v>-0.15550865217344931</v>
      </c>
      <c r="K7" s="100">
        <f t="shared" ref="K7:K55" si="4">STANDARDIZE(F7,$I$1,$K$1)</f>
        <v>-0.15550865217344931</v>
      </c>
      <c r="L7" s="100">
        <f t="shared" ref="L7:L55" si="5">STANDARDIZE(G7,$I$1,$K$1)</f>
        <v>-0.15550865217344931</v>
      </c>
    </row>
    <row r="8" spans="1:12" s="12" customFormat="1" x14ac:dyDescent="0.25">
      <c r="A8" s="13" t="s">
        <v>33</v>
      </c>
      <c r="B8" s="6" t="s">
        <v>32</v>
      </c>
      <c r="C8" s="105"/>
      <c r="D8" s="100"/>
      <c r="E8" s="100"/>
      <c r="F8" s="100"/>
      <c r="G8" s="100"/>
      <c r="I8" s="100"/>
      <c r="J8" s="100"/>
      <c r="K8" s="100"/>
      <c r="L8" s="100"/>
    </row>
    <row r="9" spans="1:12" s="12" customFormat="1" x14ac:dyDescent="0.25">
      <c r="A9" s="13" t="s">
        <v>36</v>
      </c>
      <c r="B9" s="6" t="s">
        <v>37</v>
      </c>
      <c r="C9" s="11"/>
      <c r="D9" s="12">
        <v>4</v>
      </c>
      <c r="E9" s="12">
        <v>5</v>
      </c>
      <c r="F9" s="12">
        <v>5</v>
      </c>
      <c r="G9" s="47">
        <v>5</v>
      </c>
      <c r="I9" s="12">
        <f t="shared" si="2"/>
        <v>-0.15550865217344931</v>
      </c>
      <c r="J9" s="12">
        <f t="shared" si="3"/>
        <v>1.2864806679803584</v>
      </c>
      <c r="K9" s="12">
        <f t="shared" si="4"/>
        <v>1.2864806679803584</v>
      </c>
      <c r="L9" s="12">
        <f t="shared" si="5"/>
        <v>1.2864806679803584</v>
      </c>
    </row>
    <row r="10" spans="1:12" s="12" customFormat="1" x14ac:dyDescent="0.25">
      <c r="A10" s="13" t="s">
        <v>38</v>
      </c>
      <c r="B10" s="6" t="s">
        <v>39</v>
      </c>
      <c r="C10" s="11"/>
      <c r="D10" s="12">
        <v>5</v>
      </c>
      <c r="E10" s="12">
        <v>5</v>
      </c>
      <c r="F10" s="12">
        <v>5</v>
      </c>
      <c r="G10" s="47">
        <v>5</v>
      </c>
      <c r="I10" s="12">
        <f t="shared" si="2"/>
        <v>1.2864806679803584</v>
      </c>
      <c r="J10" s="12">
        <f t="shared" si="3"/>
        <v>1.2864806679803584</v>
      </c>
      <c r="K10" s="12">
        <f t="shared" si="4"/>
        <v>1.2864806679803584</v>
      </c>
      <c r="L10" s="12">
        <f t="shared" si="5"/>
        <v>1.2864806679803584</v>
      </c>
    </row>
    <row r="11" spans="1:12" s="12" customFormat="1" x14ac:dyDescent="0.25">
      <c r="A11" s="13" t="s">
        <v>42</v>
      </c>
      <c r="B11" s="6" t="s">
        <v>43</v>
      </c>
      <c r="C11" s="11"/>
      <c r="D11" s="47">
        <v>5</v>
      </c>
      <c r="E11" s="47">
        <v>4</v>
      </c>
      <c r="F11" s="47">
        <v>5</v>
      </c>
      <c r="G11" s="47">
        <v>4</v>
      </c>
      <c r="I11" s="12">
        <f t="shared" si="2"/>
        <v>1.2864806679803584</v>
      </c>
      <c r="J11" s="12">
        <f t="shared" si="3"/>
        <v>-0.15550865217344931</v>
      </c>
      <c r="K11" s="12">
        <f t="shared" si="4"/>
        <v>1.2864806679803584</v>
      </c>
      <c r="L11" s="12">
        <f t="shared" si="5"/>
        <v>-0.15550865217344931</v>
      </c>
    </row>
    <row r="12" spans="1:12" s="12" customFormat="1" x14ac:dyDescent="0.25">
      <c r="A12" s="13" t="s">
        <v>44</v>
      </c>
      <c r="B12" s="6" t="s">
        <v>45</v>
      </c>
      <c r="C12" s="11"/>
      <c r="D12" s="47">
        <v>3</v>
      </c>
      <c r="E12" s="47">
        <v>3</v>
      </c>
      <c r="F12" s="47">
        <v>4</v>
      </c>
      <c r="G12" s="47">
        <v>3</v>
      </c>
      <c r="I12" s="12">
        <f t="shared" si="2"/>
        <v>-1.5974979723272571</v>
      </c>
      <c r="J12" s="12">
        <f t="shared" si="3"/>
        <v>-1.5974979723272571</v>
      </c>
      <c r="K12" s="12">
        <f t="shared" si="4"/>
        <v>-0.15550865217344931</v>
      </c>
      <c r="L12" s="12">
        <f t="shared" si="5"/>
        <v>-1.5974979723272571</v>
      </c>
    </row>
    <row r="13" spans="1:12" s="12" customFormat="1" x14ac:dyDescent="0.25">
      <c r="A13" s="13" t="s">
        <v>50</v>
      </c>
      <c r="B13" s="6" t="s">
        <v>51</v>
      </c>
      <c r="C13" s="11"/>
      <c r="D13" s="47">
        <v>4</v>
      </c>
      <c r="E13" s="47">
        <v>4</v>
      </c>
      <c r="F13" s="47">
        <v>4</v>
      </c>
      <c r="G13" s="47">
        <v>3</v>
      </c>
      <c r="I13" s="12">
        <f t="shared" si="2"/>
        <v>-0.15550865217344931</v>
      </c>
      <c r="J13" s="12">
        <f t="shared" si="3"/>
        <v>-0.15550865217344931</v>
      </c>
      <c r="K13" s="12">
        <f t="shared" si="4"/>
        <v>-0.15550865217344931</v>
      </c>
      <c r="L13" s="12">
        <f t="shared" si="5"/>
        <v>-1.5974979723272571</v>
      </c>
    </row>
    <row r="14" spans="1:12" s="12" customFormat="1" x14ac:dyDescent="0.25">
      <c r="A14" s="13" t="s">
        <v>54</v>
      </c>
      <c r="B14" s="6" t="s">
        <v>55</v>
      </c>
      <c r="C14" s="11"/>
      <c r="D14" s="47">
        <v>5</v>
      </c>
      <c r="E14" s="47">
        <v>5</v>
      </c>
      <c r="F14" s="47">
        <v>4</v>
      </c>
      <c r="G14" s="47">
        <v>5</v>
      </c>
      <c r="I14" s="12">
        <f t="shared" si="2"/>
        <v>1.2864806679803584</v>
      </c>
      <c r="J14" s="12">
        <f t="shared" si="3"/>
        <v>1.2864806679803584</v>
      </c>
      <c r="K14" s="12">
        <f t="shared" si="4"/>
        <v>-0.15550865217344931</v>
      </c>
      <c r="L14" s="12">
        <f t="shared" si="5"/>
        <v>1.2864806679803584</v>
      </c>
    </row>
    <row r="15" spans="1:12" s="12" customFormat="1" x14ac:dyDescent="0.25">
      <c r="A15" s="13" t="s">
        <v>56</v>
      </c>
      <c r="B15" s="6" t="s">
        <v>57</v>
      </c>
      <c r="C15" s="11"/>
      <c r="D15" s="47">
        <v>3</v>
      </c>
      <c r="E15" s="47">
        <v>4</v>
      </c>
      <c r="F15" s="47">
        <v>4</v>
      </c>
      <c r="G15" s="47">
        <v>3</v>
      </c>
      <c r="I15" s="12">
        <f t="shared" si="2"/>
        <v>-1.5974979723272571</v>
      </c>
      <c r="J15" s="12">
        <f t="shared" si="3"/>
        <v>-0.15550865217344931</v>
      </c>
      <c r="K15" s="12">
        <f t="shared" si="4"/>
        <v>-0.15550865217344931</v>
      </c>
      <c r="L15" s="12">
        <f t="shared" si="5"/>
        <v>-1.5974979723272571</v>
      </c>
    </row>
    <row r="16" spans="1:12" x14ac:dyDescent="0.25">
      <c r="A16" s="13" t="s">
        <v>60</v>
      </c>
      <c r="B16" s="6" t="s">
        <v>61</v>
      </c>
      <c r="C16" s="12"/>
      <c r="D16" s="47">
        <v>4</v>
      </c>
      <c r="E16" s="47">
        <v>5</v>
      </c>
      <c r="F16" s="47">
        <v>5</v>
      </c>
      <c r="G16" s="47">
        <v>5</v>
      </c>
      <c r="I16" s="12">
        <f t="shared" si="2"/>
        <v>-0.15550865217344931</v>
      </c>
      <c r="J16" s="12">
        <f t="shared" si="3"/>
        <v>1.2864806679803584</v>
      </c>
      <c r="K16" s="12">
        <f t="shared" si="4"/>
        <v>1.2864806679803584</v>
      </c>
      <c r="L16" s="12">
        <f t="shared" si="5"/>
        <v>1.2864806679803584</v>
      </c>
    </row>
    <row r="17" spans="1:12" s="12" customFormat="1" x14ac:dyDescent="0.25">
      <c r="A17" s="13" t="s">
        <v>70</v>
      </c>
      <c r="B17" s="6" t="s">
        <v>71</v>
      </c>
      <c r="C17" s="11"/>
      <c r="D17" s="47">
        <v>5</v>
      </c>
      <c r="E17" s="47">
        <v>4</v>
      </c>
      <c r="F17" s="47">
        <v>4</v>
      </c>
      <c r="G17" s="47">
        <v>4</v>
      </c>
      <c r="I17" s="12">
        <f t="shared" si="2"/>
        <v>1.2864806679803584</v>
      </c>
      <c r="J17" s="12">
        <f t="shared" si="3"/>
        <v>-0.15550865217344931</v>
      </c>
      <c r="K17" s="12">
        <f t="shared" si="4"/>
        <v>-0.15550865217344931</v>
      </c>
      <c r="L17" s="12">
        <f t="shared" si="5"/>
        <v>-0.15550865217344931</v>
      </c>
    </row>
    <row r="18" spans="1:12" s="12" customFormat="1" x14ac:dyDescent="0.25">
      <c r="A18" s="13" t="s">
        <v>78</v>
      </c>
      <c r="B18" s="6" t="s">
        <v>53</v>
      </c>
      <c r="C18" s="11"/>
      <c r="D18" s="47">
        <v>4</v>
      </c>
      <c r="E18" s="47">
        <v>4</v>
      </c>
      <c r="F18" s="47">
        <v>5</v>
      </c>
      <c r="G18" s="47">
        <v>5</v>
      </c>
      <c r="I18" s="12">
        <f t="shared" si="2"/>
        <v>-0.15550865217344931</v>
      </c>
      <c r="J18" s="12">
        <f t="shared" si="3"/>
        <v>-0.15550865217344931</v>
      </c>
      <c r="K18" s="12">
        <f t="shared" si="4"/>
        <v>1.2864806679803584</v>
      </c>
      <c r="L18" s="12">
        <f t="shared" si="5"/>
        <v>1.2864806679803584</v>
      </c>
    </row>
    <row r="19" spans="1:12" s="12" customFormat="1" x14ac:dyDescent="0.25">
      <c r="A19" s="13" t="s">
        <v>79</v>
      </c>
      <c r="B19" s="6" t="s">
        <v>80</v>
      </c>
      <c r="C19" s="11"/>
      <c r="D19" s="47">
        <v>4</v>
      </c>
      <c r="E19" s="47">
        <v>3</v>
      </c>
      <c r="F19" s="47">
        <v>4</v>
      </c>
      <c r="G19" s="47">
        <v>3</v>
      </c>
      <c r="I19" s="12">
        <f t="shared" si="2"/>
        <v>-0.15550865217344931</v>
      </c>
      <c r="J19" s="12">
        <f t="shared" si="3"/>
        <v>-1.5974979723272571</v>
      </c>
      <c r="K19" s="12">
        <f t="shared" si="4"/>
        <v>-0.15550865217344931</v>
      </c>
      <c r="L19" s="12">
        <f t="shared" si="5"/>
        <v>-1.5974979723272571</v>
      </c>
    </row>
    <row r="20" spans="1:12" s="12" customFormat="1" x14ac:dyDescent="0.25">
      <c r="A20" s="13" t="s">
        <v>81</v>
      </c>
      <c r="B20" s="6" t="s">
        <v>82</v>
      </c>
      <c r="C20" s="11"/>
      <c r="D20" s="47">
        <v>4</v>
      </c>
      <c r="E20" s="47">
        <v>5</v>
      </c>
      <c r="F20" s="47">
        <v>5</v>
      </c>
      <c r="G20" s="47">
        <v>5</v>
      </c>
      <c r="I20" s="12">
        <f t="shared" si="2"/>
        <v>-0.15550865217344931</v>
      </c>
      <c r="J20" s="12">
        <f t="shared" si="3"/>
        <v>1.2864806679803584</v>
      </c>
      <c r="K20" s="12">
        <f t="shared" si="4"/>
        <v>1.2864806679803584</v>
      </c>
      <c r="L20" s="12">
        <f t="shared" si="5"/>
        <v>1.2864806679803584</v>
      </c>
    </row>
    <row r="21" spans="1:12" s="12" customFormat="1" x14ac:dyDescent="0.25">
      <c r="A21" s="13" t="s">
        <v>85</v>
      </c>
      <c r="B21" s="6" t="s">
        <v>86</v>
      </c>
      <c r="C21" s="11"/>
      <c r="D21" s="47">
        <v>4</v>
      </c>
      <c r="E21" s="47">
        <v>3</v>
      </c>
      <c r="F21" s="47">
        <v>4</v>
      </c>
      <c r="G21" s="47">
        <v>4</v>
      </c>
      <c r="I21" s="12">
        <f t="shared" si="2"/>
        <v>-0.15550865217344931</v>
      </c>
      <c r="J21" s="12">
        <f t="shared" si="3"/>
        <v>-1.5974979723272571</v>
      </c>
      <c r="K21" s="12">
        <f t="shared" si="4"/>
        <v>-0.15550865217344931</v>
      </c>
      <c r="L21" s="12">
        <f t="shared" si="5"/>
        <v>-0.15550865217344931</v>
      </c>
    </row>
    <row r="22" spans="1:12" s="12" customFormat="1" x14ac:dyDescent="0.25">
      <c r="A22" s="13" t="s">
        <v>97</v>
      </c>
      <c r="B22" s="6" t="s">
        <v>98</v>
      </c>
      <c r="C22" s="11"/>
      <c r="D22" s="47">
        <v>4</v>
      </c>
      <c r="E22" s="47">
        <v>4</v>
      </c>
      <c r="F22" s="47">
        <v>5</v>
      </c>
      <c r="G22" s="47">
        <v>4</v>
      </c>
      <c r="I22" s="12">
        <f t="shared" si="2"/>
        <v>-0.15550865217344931</v>
      </c>
      <c r="J22" s="12">
        <f t="shared" si="3"/>
        <v>-0.15550865217344931</v>
      </c>
      <c r="K22" s="12">
        <f t="shared" si="4"/>
        <v>1.2864806679803584</v>
      </c>
      <c r="L22" s="12">
        <f t="shared" si="5"/>
        <v>-0.15550865217344931</v>
      </c>
    </row>
    <row r="23" spans="1:12" s="12" customFormat="1" x14ac:dyDescent="0.25">
      <c r="A23" s="13" t="s">
        <v>101</v>
      </c>
      <c r="B23" s="6" t="s">
        <v>102</v>
      </c>
      <c r="C23" s="11"/>
      <c r="D23" s="47">
        <v>4</v>
      </c>
      <c r="E23" s="47">
        <v>4</v>
      </c>
      <c r="F23" s="47">
        <v>5</v>
      </c>
      <c r="G23" s="47">
        <v>4</v>
      </c>
      <c r="I23" s="12">
        <f t="shared" si="2"/>
        <v>-0.15550865217344931</v>
      </c>
      <c r="J23" s="12">
        <f t="shared" si="3"/>
        <v>-0.15550865217344931</v>
      </c>
      <c r="K23" s="12">
        <f t="shared" si="4"/>
        <v>1.2864806679803584</v>
      </c>
      <c r="L23" s="12">
        <f t="shared" si="5"/>
        <v>-0.15550865217344931</v>
      </c>
    </row>
    <row r="24" spans="1:12" s="12" customFormat="1" x14ac:dyDescent="0.25">
      <c r="A24" s="13" t="s">
        <v>107</v>
      </c>
      <c r="B24" s="6" t="s">
        <v>108</v>
      </c>
      <c r="C24" s="11"/>
      <c r="D24" s="47">
        <v>5</v>
      </c>
      <c r="E24" s="47">
        <v>4</v>
      </c>
      <c r="F24" s="47">
        <v>4</v>
      </c>
      <c r="G24" s="47">
        <v>4</v>
      </c>
      <c r="I24" s="12">
        <f t="shared" si="2"/>
        <v>1.2864806679803584</v>
      </c>
      <c r="J24" s="12">
        <f t="shared" si="3"/>
        <v>-0.15550865217344931</v>
      </c>
      <c r="K24" s="12">
        <f t="shared" si="4"/>
        <v>-0.15550865217344931</v>
      </c>
      <c r="L24" s="12">
        <f t="shared" si="5"/>
        <v>-0.15550865217344931</v>
      </c>
    </row>
    <row r="25" spans="1:12" s="12" customFormat="1" x14ac:dyDescent="0.25">
      <c r="A25" s="13" t="s">
        <v>109</v>
      </c>
      <c r="B25" s="6" t="s">
        <v>110</v>
      </c>
      <c r="C25" s="11"/>
      <c r="D25" s="47">
        <v>3</v>
      </c>
      <c r="E25" s="47">
        <v>4</v>
      </c>
      <c r="F25" s="47">
        <v>4</v>
      </c>
      <c r="G25" s="47">
        <v>4</v>
      </c>
      <c r="I25" s="12">
        <f t="shared" si="2"/>
        <v>-1.5974979723272571</v>
      </c>
      <c r="J25" s="12">
        <f t="shared" si="3"/>
        <v>-0.15550865217344931</v>
      </c>
      <c r="K25" s="12">
        <f t="shared" si="4"/>
        <v>-0.15550865217344931</v>
      </c>
      <c r="L25" s="12">
        <f t="shared" si="5"/>
        <v>-0.15550865217344931</v>
      </c>
    </row>
    <row r="26" spans="1:12" s="12" customFormat="1" x14ac:dyDescent="0.25">
      <c r="A26" s="13" t="s">
        <v>111</v>
      </c>
      <c r="B26" s="6" t="s">
        <v>112</v>
      </c>
      <c r="C26" s="11"/>
      <c r="D26" s="47">
        <v>3</v>
      </c>
      <c r="E26" s="47">
        <v>4</v>
      </c>
      <c r="F26" s="47">
        <v>5</v>
      </c>
      <c r="G26" s="47">
        <v>5</v>
      </c>
      <c r="I26" s="12">
        <f t="shared" si="2"/>
        <v>-1.5974979723272571</v>
      </c>
      <c r="J26" s="12">
        <f t="shared" si="3"/>
        <v>-0.15550865217344931</v>
      </c>
      <c r="K26" s="12">
        <f t="shared" si="4"/>
        <v>1.2864806679803584</v>
      </c>
      <c r="L26" s="12">
        <f t="shared" si="5"/>
        <v>1.2864806679803584</v>
      </c>
    </row>
    <row r="27" spans="1:12" s="12" customFormat="1" x14ac:dyDescent="0.25">
      <c r="A27" s="13" t="s">
        <v>121</v>
      </c>
      <c r="B27" s="6" t="s">
        <v>122</v>
      </c>
      <c r="C27" s="11"/>
      <c r="D27" s="47">
        <v>4</v>
      </c>
      <c r="E27" s="47">
        <v>4</v>
      </c>
      <c r="F27" s="47">
        <v>5</v>
      </c>
      <c r="G27" s="47">
        <v>5</v>
      </c>
      <c r="I27" s="12">
        <f t="shared" si="2"/>
        <v>-0.15550865217344931</v>
      </c>
      <c r="J27" s="12">
        <f t="shared" si="3"/>
        <v>-0.15550865217344931</v>
      </c>
      <c r="K27" s="12">
        <f t="shared" si="4"/>
        <v>1.2864806679803584</v>
      </c>
      <c r="L27" s="12">
        <f t="shared" si="5"/>
        <v>1.2864806679803584</v>
      </c>
    </row>
    <row r="28" spans="1:12" s="12" customFormat="1" x14ac:dyDescent="0.25">
      <c r="A28" s="13" t="s">
        <v>123</v>
      </c>
      <c r="B28" s="6" t="s">
        <v>124</v>
      </c>
      <c r="C28" s="11"/>
      <c r="D28" s="47">
        <v>4</v>
      </c>
      <c r="E28" s="47">
        <v>4</v>
      </c>
      <c r="F28" s="47">
        <v>5</v>
      </c>
      <c r="G28" s="47">
        <v>4</v>
      </c>
      <c r="I28" s="12">
        <f t="shared" si="2"/>
        <v>-0.15550865217344931</v>
      </c>
      <c r="J28" s="12">
        <f t="shared" si="3"/>
        <v>-0.15550865217344931</v>
      </c>
      <c r="K28" s="12">
        <f t="shared" si="4"/>
        <v>1.2864806679803584</v>
      </c>
      <c r="L28" s="12">
        <f t="shared" si="5"/>
        <v>-0.15550865217344931</v>
      </c>
    </row>
    <row r="29" spans="1:12" s="12" customFormat="1" x14ac:dyDescent="0.25">
      <c r="A29" s="6" t="s">
        <v>134</v>
      </c>
      <c r="B29" s="6" t="s">
        <v>135</v>
      </c>
      <c r="C29" s="11"/>
      <c r="D29" s="47">
        <v>3</v>
      </c>
      <c r="E29" s="47">
        <v>3</v>
      </c>
      <c r="F29" s="47">
        <v>5</v>
      </c>
      <c r="G29" s="47">
        <v>5</v>
      </c>
      <c r="I29" s="12">
        <f t="shared" si="2"/>
        <v>-1.5974979723272571</v>
      </c>
      <c r="J29" s="12">
        <f t="shared" si="3"/>
        <v>-1.5974979723272571</v>
      </c>
      <c r="K29" s="12">
        <f t="shared" si="4"/>
        <v>1.2864806679803584</v>
      </c>
      <c r="L29" s="12">
        <f t="shared" si="5"/>
        <v>1.2864806679803584</v>
      </c>
    </row>
    <row r="30" spans="1:12" s="12" customFormat="1" x14ac:dyDescent="0.25">
      <c r="A30" s="6" t="s">
        <v>145</v>
      </c>
      <c r="B30" s="6" t="s">
        <v>146</v>
      </c>
      <c r="C30" s="17">
        <v>42345</v>
      </c>
      <c r="D30" s="47">
        <v>3</v>
      </c>
      <c r="E30" s="47">
        <v>3</v>
      </c>
      <c r="F30" s="47">
        <v>4</v>
      </c>
      <c r="G30" s="47">
        <v>3</v>
      </c>
      <c r="I30" s="12">
        <f t="shared" si="2"/>
        <v>-1.5974979723272571</v>
      </c>
      <c r="J30" s="12">
        <f t="shared" si="3"/>
        <v>-1.5974979723272571</v>
      </c>
      <c r="K30" s="12">
        <f t="shared" si="4"/>
        <v>-0.15550865217344931</v>
      </c>
      <c r="L30" s="12">
        <f t="shared" si="5"/>
        <v>-1.5974979723272571</v>
      </c>
    </row>
    <row r="31" spans="1:12" s="12" customFormat="1" x14ac:dyDescent="0.25">
      <c r="A31" s="6" t="s">
        <v>153</v>
      </c>
      <c r="B31" s="6" t="s">
        <v>154</v>
      </c>
      <c r="C31" s="17">
        <v>42340</v>
      </c>
      <c r="D31" s="47">
        <v>5</v>
      </c>
      <c r="E31" s="47">
        <v>4</v>
      </c>
      <c r="F31" s="47">
        <v>5</v>
      </c>
      <c r="G31" s="47">
        <v>5</v>
      </c>
      <c r="I31" s="12">
        <f t="shared" si="2"/>
        <v>1.2864806679803584</v>
      </c>
      <c r="J31" s="12">
        <f t="shared" si="3"/>
        <v>-0.15550865217344931</v>
      </c>
      <c r="K31" s="12">
        <f t="shared" si="4"/>
        <v>1.2864806679803584</v>
      </c>
      <c r="L31" s="12">
        <f t="shared" si="5"/>
        <v>1.2864806679803584</v>
      </c>
    </row>
    <row r="32" spans="1:12" s="12" customFormat="1" x14ac:dyDescent="0.25">
      <c r="A32" s="6" t="s">
        <v>163</v>
      </c>
      <c r="B32" s="6" t="s">
        <v>162</v>
      </c>
      <c r="C32" s="17">
        <v>42343</v>
      </c>
      <c r="D32" s="47">
        <v>3</v>
      </c>
      <c r="E32" s="47">
        <v>5</v>
      </c>
      <c r="F32" s="47">
        <v>4</v>
      </c>
      <c r="G32" s="47">
        <v>4</v>
      </c>
      <c r="I32" s="12">
        <f t="shared" si="2"/>
        <v>-1.5974979723272571</v>
      </c>
      <c r="J32" s="12">
        <f t="shared" si="3"/>
        <v>1.2864806679803584</v>
      </c>
      <c r="K32" s="12">
        <f t="shared" si="4"/>
        <v>-0.15550865217344931</v>
      </c>
      <c r="L32" s="12">
        <f t="shared" si="5"/>
        <v>-0.15550865217344931</v>
      </c>
    </row>
    <row r="33" spans="1:12" s="12" customFormat="1" x14ac:dyDescent="0.25">
      <c r="A33" s="6" t="s">
        <v>166</v>
      </c>
      <c r="B33" s="6" t="s">
        <v>167</v>
      </c>
      <c r="C33" s="17">
        <v>42350</v>
      </c>
      <c r="D33" s="47">
        <v>4</v>
      </c>
      <c r="E33" s="47">
        <v>4</v>
      </c>
      <c r="F33" s="47">
        <v>5</v>
      </c>
      <c r="G33" s="47">
        <v>4</v>
      </c>
      <c r="I33" s="12">
        <f t="shared" si="2"/>
        <v>-0.15550865217344931</v>
      </c>
      <c r="J33" s="12">
        <f t="shared" si="3"/>
        <v>-0.15550865217344931</v>
      </c>
      <c r="K33" s="12">
        <f t="shared" si="4"/>
        <v>1.2864806679803584</v>
      </c>
      <c r="L33" s="12">
        <f t="shared" si="5"/>
        <v>-0.15550865217344931</v>
      </c>
    </row>
    <row r="34" spans="1:12" s="12" customFormat="1" x14ac:dyDescent="0.25">
      <c r="A34" s="6" t="s">
        <v>164</v>
      </c>
      <c r="B34" s="6" t="s">
        <v>165</v>
      </c>
      <c r="C34" s="17">
        <v>42351</v>
      </c>
      <c r="D34" s="47">
        <v>4</v>
      </c>
      <c r="E34" s="47">
        <v>4</v>
      </c>
      <c r="F34" s="47">
        <v>5</v>
      </c>
      <c r="G34" s="47">
        <v>5</v>
      </c>
      <c r="I34" s="12">
        <f t="shared" si="2"/>
        <v>-0.15550865217344931</v>
      </c>
      <c r="J34" s="12">
        <f t="shared" si="3"/>
        <v>-0.15550865217344931</v>
      </c>
      <c r="K34" s="12">
        <f t="shared" si="4"/>
        <v>1.2864806679803584</v>
      </c>
      <c r="L34" s="12">
        <f t="shared" si="5"/>
        <v>1.2864806679803584</v>
      </c>
    </row>
    <row r="35" spans="1:12" s="12" customFormat="1" x14ac:dyDescent="0.25">
      <c r="B35" s="7"/>
      <c r="C35" s="7"/>
    </row>
    <row r="36" spans="1:12" s="12" customFormat="1" x14ac:dyDescent="0.25">
      <c r="A36" s="1" t="s">
        <v>1</v>
      </c>
      <c r="B36" s="7"/>
      <c r="C36" s="7"/>
    </row>
    <row r="37" spans="1:12" s="12" customFormat="1" x14ac:dyDescent="0.25">
      <c r="A37" s="13" t="s">
        <v>23</v>
      </c>
      <c r="B37" s="6" t="s">
        <v>24</v>
      </c>
      <c r="C37" s="11"/>
      <c r="D37" s="47">
        <v>3</v>
      </c>
      <c r="E37" s="47">
        <v>4</v>
      </c>
      <c r="F37" s="47">
        <v>5</v>
      </c>
      <c r="G37" s="47">
        <v>4</v>
      </c>
      <c r="I37" s="12">
        <f t="shared" si="2"/>
        <v>-1.5974979723272571</v>
      </c>
      <c r="J37" s="12">
        <f t="shared" si="3"/>
        <v>-0.15550865217344931</v>
      </c>
      <c r="K37" s="12">
        <f t="shared" si="4"/>
        <v>1.2864806679803584</v>
      </c>
      <c r="L37" s="12">
        <f t="shared" si="5"/>
        <v>-0.15550865217344931</v>
      </c>
    </row>
    <row r="38" spans="1:12" s="12" customFormat="1" x14ac:dyDescent="0.25">
      <c r="A38" s="13" t="s">
        <v>25</v>
      </c>
      <c r="B38" s="6" t="s">
        <v>26</v>
      </c>
      <c r="C38" s="11"/>
      <c r="D38" s="47">
        <v>3</v>
      </c>
      <c r="E38" s="47">
        <v>4</v>
      </c>
      <c r="F38" s="47">
        <v>4</v>
      </c>
      <c r="G38" s="47">
        <v>4</v>
      </c>
      <c r="I38" s="12">
        <f t="shared" si="2"/>
        <v>-1.5974979723272571</v>
      </c>
      <c r="J38" s="12">
        <f t="shared" si="3"/>
        <v>-0.15550865217344931</v>
      </c>
      <c r="K38" s="12">
        <f t="shared" si="4"/>
        <v>-0.15550865217344931</v>
      </c>
      <c r="L38" s="12">
        <f t="shared" si="5"/>
        <v>-0.15550865217344931</v>
      </c>
    </row>
    <row r="39" spans="1:12" s="12" customFormat="1" x14ac:dyDescent="0.25">
      <c r="A39" s="13" t="s">
        <v>27</v>
      </c>
      <c r="B39" s="6" t="s">
        <v>28</v>
      </c>
      <c r="C39" s="11"/>
      <c r="D39" s="47">
        <v>4</v>
      </c>
      <c r="E39" s="47">
        <v>4</v>
      </c>
      <c r="F39" s="47">
        <v>4</v>
      </c>
      <c r="G39" s="47">
        <v>4</v>
      </c>
      <c r="I39" s="12">
        <f t="shared" si="2"/>
        <v>-0.15550865217344931</v>
      </c>
      <c r="J39" s="12">
        <f t="shared" si="3"/>
        <v>-0.15550865217344931</v>
      </c>
      <c r="K39" s="12">
        <f t="shared" si="4"/>
        <v>-0.15550865217344931</v>
      </c>
      <c r="L39" s="12">
        <f t="shared" si="5"/>
        <v>-0.15550865217344931</v>
      </c>
    </row>
    <row r="40" spans="1:12" s="12" customFormat="1" ht="31.5" x14ac:dyDescent="0.25">
      <c r="A40" s="13" t="s">
        <v>48</v>
      </c>
      <c r="B40" s="6" t="s">
        <v>49</v>
      </c>
      <c r="C40" s="11"/>
      <c r="D40" s="47">
        <v>4</v>
      </c>
      <c r="E40" s="47">
        <v>5</v>
      </c>
      <c r="F40" s="47">
        <v>5</v>
      </c>
      <c r="G40" s="47">
        <v>4</v>
      </c>
      <c r="I40" s="12">
        <f t="shared" si="2"/>
        <v>-0.15550865217344931</v>
      </c>
      <c r="J40" s="12">
        <f t="shared" si="3"/>
        <v>1.2864806679803584</v>
      </c>
      <c r="K40" s="12">
        <f t="shared" si="4"/>
        <v>1.2864806679803584</v>
      </c>
      <c r="L40" s="12">
        <f t="shared" si="5"/>
        <v>-0.15550865217344931</v>
      </c>
    </row>
    <row r="41" spans="1:12" s="12" customFormat="1" x14ac:dyDescent="0.25">
      <c r="A41" s="13" t="s">
        <v>76</v>
      </c>
      <c r="B41" s="6" t="s">
        <v>77</v>
      </c>
      <c r="C41" s="11"/>
      <c r="D41" s="47">
        <v>3</v>
      </c>
      <c r="E41" s="47">
        <v>3</v>
      </c>
      <c r="F41" s="47">
        <v>4</v>
      </c>
      <c r="G41" s="47">
        <v>4</v>
      </c>
      <c r="I41" s="12">
        <f t="shared" si="2"/>
        <v>-1.5974979723272571</v>
      </c>
      <c r="J41" s="12">
        <f t="shared" si="3"/>
        <v>-1.5974979723272571</v>
      </c>
      <c r="K41" s="12">
        <f t="shared" si="4"/>
        <v>-0.15550865217344931</v>
      </c>
      <c r="L41" s="12">
        <f t="shared" si="5"/>
        <v>-0.15550865217344931</v>
      </c>
    </row>
    <row r="42" spans="1:12" s="12" customFormat="1" x14ac:dyDescent="0.25">
      <c r="A42" s="13" t="s">
        <v>91</v>
      </c>
      <c r="B42" s="6" t="s">
        <v>92</v>
      </c>
      <c r="C42" s="11"/>
      <c r="D42" s="47">
        <v>4</v>
      </c>
      <c r="E42" s="47">
        <v>5</v>
      </c>
      <c r="F42" s="47">
        <v>5</v>
      </c>
      <c r="G42" s="47">
        <v>5</v>
      </c>
      <c r="I42" s="12">
        <f t="shared" si="2"/>
        <v>-0.15550865217344931</v>
      </c>
      <c r="J42" s="12">
        <f t="shared" si="3"/>
        <v>1.2864806679803584</v>
      </c>
      <c r="K42" s="12">
        <f t="shared" si="4"/>
        <v>1.2864806679803584</v>
      </c>
      <c r="L42" s="12">
        <f t="shared" si="5"/>
        <v>1.2864806679803584</v>
      </c>
    </row>
    <row r="43" spans="1:12" s="12" customFormat="1" x14ac:dyDescent="0.25">
      <c r="A43" s="13" t="s">
        <v>95</v>
      </c>
      <c r="B43" s="6" t="s">
        <v>96</v>
      </c>
      <c r="C43" s="11"/>
      <c r="D43" s="47">
        <v>4</v>
      </c>
      <c r="E43" s="47">
        <v>3</v>
      </c>
      <c r="F43" s="47">
        <v>4</v>
      </c>
      <c r="G43" s="47">
        <v>3</v>
      </c>
      <c r="I43" s="12">
        <f t="shared" si="2"/>
        <v>-0.15550865217344931</v>
      </c>
      <c r="J43" s="12">
        <f t="shared" si="3"/>
        <v>-1.5974979723272571</v>
      </c>
      <c r="K43" s="12">
        <f t="shared" si="4"/>
        <v>-0.15550865217344931</v>
      </c>
      <c r="L43" s="12">
        <f t="shared" si="5"/>
        <v>-1.5974979723272571</v>
      </c>
    </row>
    <row r="44" spans="1:12" s="12" customFormat="1" x14ac:dyDescent="0.25">
      <c r="A44" s="13" t="s">
        <v>115</v>
      </c>
      <c r="B44" s="6" t="s">
        <v>116</v>
      </c>
      <c r="C44" s="11"/>
      <c r="D44" s="47">
        <v>3</v>
      </c>
      <c r="E44" s="47">
        <v>3</v>
      </c>
      <c r="F44" s="47">
        <v>4</v>
      </c>
      <c r="G44" s="47">
        <v>5</v>
      </c>
      <c r="I44" s="12">
        <f t="shared" si="2"/>
        <v>-1.5974979723272571</v>
      </c>
      <c r="J44" s="12">
        <f t="shared" si="3"/>
        <v>-1.5974979723272571</v>
      </c>
      <c r="K44" s="12">
        <f t="shared" si="4"/>
        <v>-0.15550865217344931</v>
      </c>
      <c r="L44" s="12">
        <f t="shared" si="5"/>
        <v>1.2864806679803584</v>
      </c>
    </row>
    <row r="45" spans="1:12" s="12" customFormat="1" x14ac:dyDescent="0.25">
      <c r="A45" s="13" t="s">
        <v>117</v>
      </c>
      <c r="B45" s="6" t="s">
        <v>118</v>
      </c>
      <c r="C45" s="11"/>
      <c r="D45" s="47">
        <v>4</v>
      </c>
      <c r="E45" s="47">
        <v>4</v>
      </c>
      <c r="F45" s="47">
        <v>5</v>
      </c>
      <c r="G45" s="47">
        <v>4</v>
      </c>
      <c r="I45" s="12">
        <f t="shared" si="2"/>
        <v>-0.15550865217344931</v>
      </c>
      <c r="J45" s="12">
        <f t="shared" si="3"/>
        <v>-0.15550865217344931</v>
      </c>
      <c r="K45" s="12">
        <f t="shared" si="4"/>
        <v>1.2864806679803584</v>
      </c>
      <c r="L45" s="12">
        <f t="shared" si="5"/>
        <v>-0.15550865217344931</v>
      </c>
    </row>
    <row r="46" spans="1:12" s="12" customFormat="1" x14ac:dyDescent="0.25">
      <c r="A46" s="6" t="s">
        <v>136</v>
      </c>
      <c r="B46" s="6" t="s">
        <v>137</v>
      </c>
      <c r="C46" s="17">
        <v>42340</v>
      </c>
      <c r="D46" s="47">
        <v>4</v>
      </c>
      <c r="E46" s="47">
        <v>3</v>
      </c>
      <c r="F46" s="47">
        <v>4</v>
      </c>
      <c r="G46" s="47">
        <v>4</v>
      </c>
      <c r="I46" s="12">
        <f t="shared" si="2"/>
        <v>-0.15550865217344931</v>
      </c>
      <c r="J46" s="12">
        <f t="shared" si="3"/>
        <v>-1.5974979723272571</v>
      </c>
      <c r="K46" s="12">
        <f t="shared" si="4"/>
        <v>-0.15550865217344931</v>
      </c>
      <c r="L46" s="12">
        <f t="shared" si="5"/>
        <v>-0.15550865217344931</v>
      </c>
    </row>
    <row r="47" spans="1:12" s="12" customFormat="1" x14ac:dyDescent="0.25">
      <c r="A47" s="6"/>
      <c r="B47" s="6"/>
    </row>
    <row r="48" spans="1:12" s="12" customFormat="1" x14ac:dyDescent="0.25">
      <c r="A48" s="1" t="s">
        <v>2</v>
      </c>
      <c r="B48" s="7"/>
      <c r="C48" s="7"/>
    </row>
    <row r="49" spans="1:12" s="12" customFormat="1" x14ac:dyDescent="0.25">
      <c r="A49" s="13" t="s">
        <v>40</v>
      </c>
      <c r="B49" s="6" t="s">
        <v>41</v>
      </c>
      <c r="C49" s="11"/>
      <c r="D49" s="47">
        <v>4</v>
      </c>
      <c r="E49" s="47">
        <v>4</v>
      </c>
      <c r="F49" s="47">
        <v>4</v>
      </c>
      <c r="G49" s="47">
        <v>3</v>
      </c>
      <c r="I49" s="12">
        <f t="shared" si="2"/>
        <v>-0.15550865217344931</v>
      </c>
      <c r="J49" s="12">
        <f t="shared" si="3"/>
        <v>-0.15550865217344931</v>
      </c>
      <c r="K49" s="12">
        <f t="shared" si="4"/>
        <v>-0.15550865217344931</v>
      </c>
      <c r="L49" s="12">
        <f t="shared" si="5"/>
        <v>-1.5974979723272571</v>
      </c>
    </row>
    <row r="50" spans="1:12" s="12" customFormat="1" x14ac:dyDescent="0.25">
      <c r="A50" s="13" t="s">
        <v>64</v>
      </c>
      <c r="B50" s="6" t="s">
        <v>65</v>
      </c>
      <c r="C50" s="11"/>
      <c r="D50" s="47">
        <v>3</v>
      </c>
      <c r="E50" s="47">
        <v>3</v>
      </c>
      <c r="F50" s="47">
        <v>4</v>
      </c>
      <c r="G50" s="47">
        <v>3</v>
      </c>
      <c r="I50" s="12">
        <f t="shared" si="2"/>
        <v>-1.5974979723272571</v>
      </c>
      <c r="J50" s="12">
        <f t="shared" si="3"/>
        <v>-1.5974979723272571</v>
      </c>
      <c r="K50" s="12">
        <f t="shared" si="4"/>
        <v>-0.15550865217344931</v>
      </c>
      <c r="L50" s="12">
        <f t="shared" si="5"/>
        <v>-1.5974979723272571</v>
      </c>
    </row>
    <row r="51" spans="1:12" s="12" customFormat="1" x14ac:dyDescent="0.25">
      <c r="A51" s="13" t="s">
        <v>99</v>
      </c>
      <c r="B51" s="6" t="s">
        <v>100</v>
      </c>
      <c r="C51" s="11"/>
      <c r="D51" s="47">
        <v>4</v>
      </c>
      <c r="E51" s="47">
        <v>4</v>
      </c>
      <c r="F51" s="47">
        <v>4</v>
      </c>
      <c r="G51" s="47">
        <v>3</v>
      </c>
      <c r="I51" s="12">
        <f t="shared" si="2"/>
        <v>-0.15550865217344931</v>
      </c>
      <c r="J51" s="12">
        <f t="shared" si="3"/>
        <v>-0.15550865217344931</v>
      </c>
      <c r="K51" s="12">
        <f t="shared" si="4"/>
        <v>-0.15550865217344931</v>
      </c>
      <c r="L51" s="12">
        <f t="shared" si="5"/>
        <v>-1.5974979723272571</v>
      </c>
    </row>
    <row r="52" spans="1:12" s="12" customFormat="1" x14ac:dyDescent="0.25">
      <c r="A52" s="13" t="s">
        <v>103</v>
      </c>
      <c r="B52" s="6" t="s">
        <v>104</v>
      </c>
      <c r="C52" s="11"/>
      <c r="D52" s="47">
        <v>4</v>
      </c>
      <c r="E52" s="47">
        <v>3</v>
      </c>
      <c r="F52" s="47">
        <v>4</v>
      </c>
      <c r="G52" s="47">
        <v>4</v>
      </c>
      <c r="I52" s="12">
        <f t="shared" si="2"/>
        <v>-0.15550865217344931</v>
      </c>
      <c r="J52" s="12">
        <f t="shared" si="3"/>
        <v>-1.5974979723272571</v>
      </c>
      <c r="K52" s="12">
        <f t="shared" si="4"/>
        <v>-0.15550865217344931</v>
      </c>
      <c r="L52" s="12">
        <f t="shared" si="5"/>
        <v>-0.15550865217344931</v>
      </c>
    </row>
    <row r="53" spans="1:12" s="12" customFormat="1" ht="31.5" x14ac:dyDescent="0.25">
      <c r="A53" s="13" t="s">
        <v>113</v>
      </c>
      <c r="B53" s="6" t="s">
        <v>114</v>
      </c>
      <c r="C53" s="11"/>
      <c r="D53" s="47">
        <v>4</v>
      </c>
      <c r="E53" s="47">
        <v>4</v>
      </c>
      <c r="F53" s="47">
        <v>4</v>
      </c>
      <c r="G53" s="47">
        <v>3</v>
      </c>
      <c r="I53" s="12">
        <f t="shared" si="2"/>
        <v>-0.15550865217344931</v>
      </c>
      <c r="J53" s="12">
        <f t="shared" si="3"/>
        <v>-0.15550865217344931</v>
      </c>
      <c r="K53" s="12">
        <f t="shared" si="4"/>
        <v>-0.15550865217344931</v>
      </c>
      <c r="L53" s="12">
        <f t="shared" si="5"/>
        <v>-1.5974979723272571</v>
      </c>
    </row>
    <row r="54" spans="1:12" s="12" customFormat="1" ht="31.5" x14ac:dyDescent="0.25">
      <c r="A54" s="13" t="s">
        <v>119</v>
      </c>
      <c r="B54" s="6" t="s">
        <v>120</v>
      </c>
      <c r="C54" s="11"/>
      <c r="D54" s="47">
        <v>3</v>
      </c>
      <c r="E54" s="47">
        <v>3</v>
      </c>
      <c r="F54" s="47">
        <v>4</v>
      </c>
      <c r="G54" s="47">
        <v>3</v>
      </c>
      <c r="I54" s="12">
        <f t="shared" si="2"/>
        <v>-1.5974979723272571</v>
      </c>
      <c r="J54" s="12">
        <f t="shared" si="3"/>
        <v>-1.5974979723272571</v>
      </c>
      <c r="K54" s="12">
        <f t="shared" si="4"/>
        <v>-0.15550865217344931</v>
      </c>
      <c r="L54" s="12">
        <f t="shared" si="5"/>
        <v>-1.5974979723272571</v>
      </c>
    </row>
    <row r="55" spans="1:12" s="12" customFormat="1" x14ac:dyDescent="0.25">
      <c r="A55" s="6" t="s">
        <v>161</v>
      </c>
      <c r="B55" s="6" t="s">
        <v>162</v>
      </c>
      <c r="C55" s="17">
        <v>42344</v>
      </c>
      <c r="D55" s="47">
        <v>4</v>
      </c>
      <c r="E55" s="47">
        <v>5</v>
      </c>
      <c r="F55" s="47">
        <v>5</v>
      </c>
      <c r="G55" s="47">
        <v>4</v>
      </c>
      <c r="I55" s="12">
        <f t="shared" si="2"/>
        <v>-0.15550865217344931</v>
      </c>
      <c r="J55" s="12">
        <f t="shared" si="3"/>
        <v>1.2864806679803584</v>
      </c>
      <c r="K55" s="12">
        <f t="shared" si="4"/>
        <v>1.2864806679803584</v>
      </c>
      <c r="L55" s="12">
        <f t="shared" si="5"/>
        <v>-0.15550865217344931</v>
      </c>
    </row>
    <row r="56" spans="1:12" s="12" customFormat="1" x14ac:dyDescent="0.25"/>
    <row r="57" spans="1:12" s="12" customFormat="1" x14ac:dyDescent="0.25">
      <c r="A57" s="1" t="s">
        <v>18</v>
      </c>
      <c r="B57" s="7"/>
      <c r="C57" s="7"/>
    </row>
    <row r="58" spans="1:12" s="12" customFormat="1" ht="31.5" x14ac:dyDescent="0.25">
      <c r="A58" s="13" t="s">
        <v>29</v>
      </c>
      <c r="B58" s="6" t="s">
        <v>30</v>
      </c>
      <c r="C58" s="11"/>
    </row>
    <row r="59" spans="1:12" s="12" customFormat="1" x14ac:dyDescent="0.25">
      <c r="A59" s="13" t="s">
        <v>66</v>
      </c>
      <c r="B59" s="6" t="s">
        <v>24</v>
      </c>
      <c r="C59" s="11"/>
    </row>
    <row r="60" spans="1:12" s="12" customFormat="1" x14ac:dyDescent="0.25">
      <c r="A60" s="13" t="s">
        <v>67</v>
      </c>
      <c r="B60" s="6" t="s">
        <v>55</v>
      </c>
      <c r="C60" s="11"/>
    </row>
    <row r="61" spans="1:12" s="12" customFormat="1" x14ac:dyDescent="0.25">
      <c r="A61" s="13" t="s">
        <v>89</v>
      </c>
      <c r="B61" s="6" t="s">
        <v>90</v>
      </c>
      <c r="C61" s="11"/>
    </row>
    <row r="62" spans="1:12" s="12" customFormat="1" x14ac:dyDescent="0.25">
      <c r="A62" s="13" t="s">
        <v>125</v>
      </c>
      <c r="B62" s="6" t="s">
        <v>126</v>
      </c>
      <c r="C62" s="11"/>
    </row>
    <row r="63" spans="1:12" s="12" customFormat="1" x14ac:dyDescent="0.25">
      <c r="A63" s="13" t="s">
        <v>127</v>
      </c>
      <c r="B63" s="6" t="s">
        <v>128</v>
      </c>
      <c r="C63" s="11"/>
    </row>
    <row r="64" spans="1:12" s="12" customFormat="1" x14ac:dyDescent="0.25">
      <c r="A64" s="13" t="s">
        <v>129</v>
      </c>
      <c r="B64" s="6" t="s">
        <v>130</v>
      </c>
      <c r="C64" s="11"/>
    </row>
    <row r="65" spans="1:12" s="12" customFormat="1" x14ac:dyDescent="0.25">
      <c r="A65" s="6" t="s">
        <v>138</v>
      </c>
      <c r="B65" s="6" t="s">
        <v>139</v>
      </c>
      <c r="C65" s="17">
        <v>42349</v>
      </c>
    </row>
    <row r="66" spans="1:12" s="12" customFormat="1" x14ac:dyDescent="0.25">
      <c r="A66" s="6" t="s">
        <v>140</v>
      </c>
      <c r="B66" s="6" t="s">
        <v>141</v>
      </c>
      <c r="C66" s="11"/>
    </row>
    <row r="67" spans="1:12" s="12" customFormat="1" x14ac:dyDescent="0.25">
      <c r="A67" s="6" t="s">
        <v>151</v>
      </c>
      <c r="B67" s="6" t="s">
        <v>152</v>
      </c>
      <c r="C67" s="17">
        <v>42341</v>
      </c>
    </row>
    <row r="68" spans="1:12" s="12" customFormat="1" x14ac:dyDescent="0.25">
      <c r="A68" s="6" t="s">
        <v>157</v>
      </c>
      <c r="B68" s="6" t="s">
        <v>158</v>
      </c>
      <c r="C68" s="17">
        <v>42341</v>
      </c>
    </row>
    <row r="69" spans="1:12" s="12" customFormat="1" x14ac:dyDescent="0.25">
      <c r="A69" s="6" t="s">
        <v>159</v>
      </c>
      <c r="B69" s="6" t="s">
        <v>160</v>
      </c>
      <c r="C69" s="17">
        <v>42346</v>
      </c>
    </row>
    <row r="70" spans="1:12" s="12" customFormat="1" x14ac:dyDescent="0.25">
      <c r="A70" s="6" t="s">
        <v>168</v>
      </c>
      <c r="B70" s="6" t="s">
        <v>169</v>
      </c>
      <c r="C70" s="17">
        <v>42350</v>
      </c>
    </row>
    <row r="71" spans="1:12" s="12" customFormat="1" x14ac:dyDescent="0.25">
      <c r="A71" s="6"/>
      <c r="B71" s="6"/>
      <c r="C71" s="11"/>
    </row>
    <row r="72" spans="1:12" s="12" customFormat="1" x14ac:dyDescent="0.25">
      <c r="A72" s="1" t="s">
        <v>19</v>
      </c>
      <c r="B72" s="11"/>
      <c r="C72" s="11"/>
    </row>
    <row r="73" spans="1:12" s="12" customFormat="1" x14ac:dyDescent="0.25">
      <c r="A73" s="13" t="s">
        <v>46</v>
      </c>
      <c r="B73" s="6" t="s">
        <v>47</v>
      </c>
      <c r="C73" s="11"/>
      <c r="D73" s="12">
        <v>3</v>
      </c>
      <c r="E73" s="12">
        <v>5</v>
      </c>
      <c r="F73" s="12">
        <v>3</v>
      </c>
      <c r="G73" s="47">
        <v>3</v>
      </c>
      <c r="I73" s="12">
        <f t="shared" ref="I73:I78" si="6">STANDARDIZE(D73,$I$1,$K$1)</f>
        <v>-1.5974979723272571</v>
      </c>
      <c r="J73" s="12">
        <f t="shared" ref="J73:J78" si="7">STANDARDIZE(E73,$I$1,$K$1)</f>
        <v>1.2864806679803584</v>
      </c>
      <c r="K73" s="12">
        <f t="shared" ref="K73:K78" si="8">STANDARDIZE(F73,$I$1,$K$1)</f>
        <v>-1.5974979723272571</v>
      </c>
      <c r="L73" s="12">
        <f t="shared" ref="L73:L78" si="9">STANDARDIZE(G73,$I$1,$K$1)</f>
        <v>-1.5974979723272571</v>
      </c>
    </row>
    <row r="74" spans="1:12" s="12" customFormat="1" x14ac:dyDescent="0.25">
      <c r="A74" s="6" t="s">
        <v>142</v>
      </c>
      <c r="B74" s="6" t="s">
        <v>143</v>
      </c>
      <c r="C74" s="17">
        <v>42342</v>
      </c>
      <c r="D74" s="12">
        <v>5</v>
      </c>
      <c r="E74" s="12">
        <v>4</v>
      </c>
      <c r="F74" s="12">
        <v>5</v>
      </c>
      <c r="G74" s="47">
        <v>5</v>
      </c>
      <c r="I74" s="12">
        <f t="shared" si="6"/>
        <v>1.2864806679803584</v>
      </c>
      <c r="J74" s="12">
        <f t="shared" si="7"/>
        <v>-0.15550865217344931</v>
      </c>
      <c r="K74" s="12">
        <f t="shared" si="8"/>
        <v>1.2864806679803584</v>
      </c>
      <c r="L74" s="12">
        <f t="shared" si="9"/>
        <v>1.2864806679803584</v>
      </c>
    </row>
    <row r="75" spans="1:12" s="12" customFormat="1" x14ac:dyDescent="0.25">
      <c r="A75" s="6" t="s">
        <v>144</v>
      </c>
      <c r="B75" s="6" t="s">
        <v>55</v>
      </c>
      <c r="C75" s="17">
        <v>42344</v>
      </c>
      <c r="D75" s="12">
        <v>5</v>
      </c>
      <c r="E75" s="12">
        <v>5</v>
      </c>
      <c r="F75" s="12">
        <v>4</v>
      </c>
      <c r="G75" s="47">
        <v>5</v>
      </c>
      <c r="I75" s="12">
        <f t="shared" si="6"/>
        <v>1.2864806679803584</v>
      </c>
      <c r="J75" s="12">
        <f t="shared" si="7"/>
        <v>1.2864806679803584</v>
      </c>
      <c r="K75" s="12">
        <f t="shared" si="8"/>
        <v>-0.15550865217344931</v>
      </c>
      <c r="L75" s="12">
        <f t="shared" si="9"/>
        <v>1.2864806679803584</v>
      </c>
    </row>
    <row r="76" spans="1:12" s="12" customFormat="1" x14ac:dyDescent="0.25">
      <c r="A76" s="6" t="s">
        <v>147</v>
      </c>
      <c r="B76" s="6" t="s">
        <v>148</v>
      </c>
      <c r="C76" s="17">
        <v>42347</v>
      </c>
      <c r="D76" s="47">
        <v>4</v>
      </c>
      <c r="E76" s="47">
        <v>4</v>
      </c>
      <c r="F76" s="47">
        <v>4</v>
      </c>
      <c r="G76" s="47">
        <v>4</v>
      </c>
      <c r="I76" s="12">
        <f t="shared" si="6"/>
        <v>-0.15550865217344931</v>
      </c>
      <c r="J76" s="12">
        <f t="shared" si="7"/>
        <v>-0.15550865217344931</v>
      </c>
      <c r="K76" s="12">
        <f t="shared" si="8"/>
        <v>-0.15550865217344931</v>
      </c>
      <c r="L76" s="12">
        <f t="shared" si="9"/>
        <v>-0.15550865217344931</v>
      </c>
    </row>
    <row r="77" spans="1:12" s="12" customFormat="1" x14ac:dyDescent="0.25">
      <c r="A77" s="6" t="s">
        <v>149</v>
      </c>
      <c r="B77" s="6" t="s">
        <v>150</v>
      </c>
      <c r="C77" s="17">
        <v>42346</v>
      </c>
      <c r="D77" s="47">
        <v>5</v>
      </c>
      <c r="E77" s="47">
        <v>5</v>
      </c>
      <c r="F77" s="47">
        <v>4</v>
      </c>
      <c r="G77" s="47">
        <v>5</v>
      </c>
      <c r="I77" s="12">
        <f t="shared" si="6"/>
        <v>1.2864806679803584</v>
      </c>
      <c r="J77" s="12">
        <f t="shared" si="7"/>
        <v>1.2864806679803584</v>
      </c>
      <c r="K77" s="12">
        <f t="shared" si="8"/>
        <v>-0.15550865217344931</v>
      </c>
      <c r="L77" s="12">
        <f t="shared" si="9"/>
        <v>1.2864806679803584</v>
      </c>
    </row>
    <row r="78" spans="1:12" s="12" customFormat="1" x14ac:dyDescent="0.25">
      <c r="A78" s="6" t="s">
        <v>155</v>
      </c>
      <c r="B78" s="6" t="s">
        <v>156</v>
      </c>
      <c r="C78" s="17">
        <v>42348</v>
      </c>
      <c r="D78" s="47">
        <v>4</v>
      </c>
      <c r="E78" s="47">
        <v>5</v>
      </c>
      <c r="F78" s="47">
        <v>4</v>
      </c>
      <c r="G78" s="47">
        <v>5</v>
      </c>
      <c r="I78" s="12">
        <f t="shared" si="6"/>
        <v>-0.15550865217344931</v>
      </c>
      <c r="J78" s="12">
        <f t="shared" si="7"/>
        <v>1.2864806679803584</v>
      </c>
      <c r="K78" s="12">
        <f t="shared" si="8"/>
        <v>-0.15550865217344931</v>
      </c>
      <c r="L78" s="12">
        <f t="shared" si="9"/>
        <v>1.2864806679803584</v>
      </c>
    </row>
    <row r="79" spans="1:12" s="12" customFormat="1" x14ac:dyDescent="0.25">
      <c r="A79" s="11"/>
      <c r="B79" s="11"/>
      <c r="C79" s="11"/>
    </row>
    <row r="80" spans="1:12" s="12" customFormat="1" x14ac:dyDescent="0.25">
      <c r="A80" s="1" t="s">
        <v>20</v>
      </c>
      <c r="B80" s="11"/>
      <c r="C80" s="11"/>
    </row>
    <row r="81" spans="1:7" s="12" customFormat="1" x14ac:dyDescent="0.25">
      <c r="A81" s="13" t="s">
        <v>34</v>
      </c>
      <c r="B81" s="6" t="s">
        <v>35</v>
      </c>
      <c r="C81" s="11"/>
    </row>
    <row r="82" spans="1:7" s="12" customFormat="1" x14ac:dyDescent="0.25">
      <c r="A82" s="13" t="s">
        <v>52</v>
      </c>
      <c r="B82" s="6" t="s">
        <v>53</v>
      </c>
      <c r="C82" s="11"/>
    </row>
    <row r="83" spans="1:7" s="12" customFormat="1" x14ac:dyDescent="0.25">
      <c r="A83" s="13" t="s">
        <v>58</v>
      </c>
      <c r="B83" s="6" t="s">
        <v>59</v>
      </c>
      <c r="C83" s="11"/>
    </row>
    <row r="84" spans="1:7" s="12" customFormat="1" x14ac:dyDescent="0.25">
      <c r="A84" s="13" t="s">
        <v>62</v>
      </c>
      <c r="B84" s="6" t="s">
        <v>63</v>
      </c>
      <c r="C84" s="11"/>
    </row>
    <row r="85" spans="1:7" s="12" customFormat="1" x14ac:dyDescent="0.25">
      <c r="A85" s="13" t="s">
        <v>68</v>
      </c>
      <c r="B85" s="6" t="s">
        <v>69</v>
      </c>
      <c r="C85" s="11"/>
    </row>
    <row r="86" spans="1:7" s="12" customFormat="1" x14ac:dyDescent="0.25">
      <c r="A86" s="13" t="s">
        <v>72</v>
      </c>
      <c r="B86" s="6" t="s">
        <v>73</v>
      </c>
      <c r="C86" s="11"/>
    </row>
    <row r="87" spans="1:7" s="12" customFormat="1" x14ac:dyDescent="0.25">
      <c r="A87" s="13" t="s">
        <v>74</v>
      </c>
      <c r="B87" s="6" t="s">
        <v>75</v>
      </c>
      <c r="C87" s="11"/>
    </row>
    <row r="88" spans="1:7" s="12" customFormat="1" x14ac:dyDescent="0.25">
      <c r="A88" s="13" t="s">
        <v>83</v>
      </c>
      <c r="B88" s="6" t="s">
        <v>84</v>
      </c>
      <c r="C88" s="11"/>
    </row>
    <row r="89" spans="1:7" s="12" customFormat="1" x14ac:dyDescent="0.25">
      <c r="A89" s="13" t="s">
        <v>87</v>
      </c>
      <c r="B89" s="6" t="s">
        <v>88</v>
      </c>
      <c r="C89" s="11"/>
    </row>
    <row r="90" spans="1:7" s="12" customFormat="1" x14ac:dyDescent="0.25">
      <c r="A90" s="13" t="s">
        <v>93</v>
      </c>
      <c r="B90" s="6" t="s">
        <v>94</v>
      </c>
      <c r="C90" s="11"/>
    </row>
    <row r="91" spans="1:7" s="12" customFormat="1" x14ac:dyDescent="0.25">
      <c r="A91" s="13" t="s">
        <v>105</v>
      </c>
      <c r="B91" s="6" t="s">
        <v>106</v>
      </c>
      <c r="C91" s="11"/>
    </row>
    <row r="92" spans="1:7" s="12" customFormat="1" x14ac:dyDescent="0.25">
      <c r="A92" s="6" t="s">
        <v>131</v>
      </c>
      <c r="B92" s="6" t="s">
        <v>57</v>
      </c>
      <c r="C92" s="11"/>
    </row>
    <row r="93" spans="1:7" s="12" customFormat="1" x14ac:dyDescent="0.25">
      <c r="A93" s="6" t="s">
        <v>132</v>
      </c>
      <c r="B93" s="6" t="s">
        <v>133</v>
      </c>
      <c r="C93" s="11"/>
    </row>
    <row r="94" spans="1:7" s="12" customFormat="1" x14ac:dyDescent="0.25"/>
    <row r="95" spans="1:7" x14ac:dyDescent="0.25">
      <c r="A95" s="8" t="s">
        <v>8</v>
      </c>
      <c r="B95" s="9"/>
      <c r="C95" s="15"/>
      <c r="D95" s="9"/>
      <c r="E95" s="9"/>
      <c r="F95" s="9"/>
      <c r="G95" s="9"/>
    </row>
    <row r="96" spans="1:7" x14ac:dyDescent="0.25">
      <c r="A96" s="5" t="s">
        <v>9</v>
      </c>
      <c r="C96" s="12"/>
    </row>
    <row r="97" spans="1:3" x14ac:dyDescent="0.25">
      <c r="A97" s="5" t="s">
        <v>10</v>
      </c>
      <c r="C97" s="12"/>
    </row>
    <row r="98" spans="1:3" x14ac:dyDescent="0.25">
      <c r="A98" s="5" t="s">
        <v>11</v>
      </c>
      <c r="C98" s="12"/>
    </row>
    <row r="99" spans="1:3" x14ac:dyDescent="0.25">
      <c r="A99" s="5" t="s">
        <v>12</v>
      </c>
      <c r="C99" s="12"/>
    </row>
    <row r="100" spans="1:3" x14ac:dyDescent="0.25">
      <c r="A100" s="5" t="s">
        <v>13</v>
      </c>
      <c r="C100" s="12"/>
    </row>
    <row r="101" spans="1:3" x14ac:dyDescent="0.25">
      <c r="C101" s="12"/>
    </row>
    <row r="102" spans="1:3" x14ac:dyDescent="0.25">
      <c r="C102" s="12"/>
    </row>
    <row r="103" spans="1:3" x14ac:dyDescent="0.25">
      <c r="C103" s="12"/>
    </row>
    <row r="104" spans="1:3" x14ac:dyDescent="0.25">
      <c r="C104" s="12"/>
    </row>
    <row r="105" spans="1:3" x14ac:dyDescent="0.25">
      <c r="C105" s="12"/>
    </row>
    <row r="106" spans="1:3" x14ac:dyDescent="0.25">
      <c r="C106" s="12"/>
    </row>
    <row r="107" spans="1:3" x14ac:dyDescent="0.25">
      <c r="C107" s="12"/>
    </row>
    <row r="108" spans="1:3" x14ac:dyDescent="0.25">
      <c r="C108" s="12"/>
    </row>
    <row r="109" spans="1:3" x14ac:dyDescent="0.25">
      <c r="C109" s="12"/>
    </row>
    <row r="110" spans="1:3" x14ac:dyDescent="0.25">
      <c r="C110" s="12"/>
    </row>
    <row r="111" spans="1:3" x14ac:dyDescent="0.25">
      <c r="C111" s="12"/>
    </row>
    <row r="112" spans="1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12">
    <mergeCell ref="I2:L2"/>
    <mergeCell ref="I7:I8"/>
    <mergeCell ref="J7:J8"/>
    <mergeCell ref="K7:K8"/>
    <mergeCell ref="L7:L8"/>
    <mergeCell ref="B1:G1"/>
    <mergeCell ref="D2:G2"/>
    <mergeCell ref="C7:C8"/>
    <mergeCell ref="D7:D8"/>
    <mergeCell ref="E7:E8"/>
    <mergeCell ref="F7:F8"/>
    <mergeCell ref="G7:G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D1" workbookViewId="0">
      <selection activeCell="L7" sqref="L7:L8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</cols>
  <sheetData>
    <row r="1" spans="1:12" x14ac:dyDescent="0.25">
      <c r="A1" s="1" t="s">
        <v>14</v>
      </c>
      <c r="B1" s="104" t="s">
        <v>198</v>
      </c>
      <c r="C1" s="104"/>
      <c r="D1" s="104"/>
      <c r="E1" s="104"/>
      <c r="F1" s="104"/>
      <c r="G1" s="104"/>
      <c r="H1" t="s">
        <v>174</v>
      </c>
      <c r="I1">
        <f>AVERAGE(D6:G78)</f>
        <v>3.6372549019607843</v>
      </c>
      <c r="J1" t="s">
        <v>177</v>
      </c>
      <c r="K1">
        <f>_xlfn.STDEV.S(D6:G78)</f>
        <v>1.1123065786251103</v>
      </c>
    </row>
    <row r="2" spans="1:12" x14ac:dyDescent="0.25">
      <c r="D2" s="102" t="s">
        <v>16</v>
      </c>
      <c r="E2" s="102"/>
      <c r="F2" s="102"/>
      <c r="G2" s="102"/>
      <c r="I2" s="103" t="s">
        <v>214</v>
      </c>
      <c r="J2" s="103"/>
      <c r="K2" s="103"/>
      <c r="L2" s="103"/>
    </row>
    <row r="3" spans="1:12" s="2" customFormat="1" ht="18.75" x14ac:dyDescent="0.3">
      <c r="A3" s="3" t="s">
        <v>3</v>
      </c>
      <c r="B3" s="3" t="s">
        <v>4</v>
      </c>
      <c r="C3" s="3" t="s">
        <v>17</v>
      </c>
      <c r="D3" s="86" t="s">
        <v>15</v>
      </c>
      <c r="E3" s="86" t="s">
        <v>197</v>
      </c>
      <c r="F3" s="87" t="s">
        <v>5</v>
      </c>
      <c r="G3" s="87" t="s">
        <v>6</v>
      </c>
      <c r="I3" s="3" t="str">
        <f>D3</f>
        <v>Актуальность темы</v>
      </c>
      <c r="J3" s="3" t="str">
        <f t="shared" ref="J3:L3" si="0">E3</f>
        <v>Научная составляющая</v>
      </c>
      <c r="K3" s="3" t="str">
        <f t="shared" si="0"/>
        <v>Доступность изложения</v>
      </c>
      <c r="L3" s="3" t="str">
        <f t="shared" si="0"/>
        <v>Авторский стиль</v>
      </c>
    </row>
    <row r="4" spans="1:12" s="2" customFormat="1" ht="18.75" x14ac:dyDescent="0.3">
      <c r="A4" s="4"/>
      <c r="B4" s="4"/>
      <c r="C4" s="16"/>
      <c r="D4" s="76"/>
      <c r="E4" s="76"/>
      <c r="F4" s="76"/>
      <c r="G4" s="76"/>
      <c r="H4" s="76"/>
      <c r="I4" s="76"/>
    </row>
    <row r="5" spans="1:12" s="12" customFormat="1" ht="18" x14ac:dyDescent="0.25">
      <c r="A5" s="1" t="s">
        <v>0</v>
      </c>
      <c r="D5" s="76"/>
      <c r="E5" s="76"/>
      <c r="F5" s="76"/>
      <c r="G5" s="76"/>
      <c r="H5" s="76"/>
      <c r="I5" s="76"/>
    </row>
    <row r="6" spans="1:12" s="84" customFormat="1" ht="18" x14ac:dyDescent="0.25">
      <c r="A6" s="77" t="s">
        <v>21</v>
      </c>
      <c r="B6" s="78" t="s">
        <v>22</v>
      </c>
      <c r="C6" s="79"/>
      <c r="D6" s="80">
        <v>2</v>
      </c>
      <c r="E6" s="80">
        <v>5</v>
      </c>
      <c r="F6" s="80">
        <v>5</v>
      </c>
      <c r="G6" s="80">
        <v>5</v>
      </c>
      <c r="H6" s="80"/>
      <c r="I6" s="80">
        <f>STANDARDIZE(D6,$I$1,$K$1)</f>
        <v>-1.471945714808724</v>
      </c>
      <c r="J6" s="82">
        <f t="shared" ref="J6:L6" si="1">STANDARDIZE(E6,$I$1,$K$1)</f>
        <v>1.2251524213078602</v>
      </c>
      <c r="K6" s="82">
        <f t="shared" si="1"/>
        <v>1.2251524213078602</v>
      </c>
      <c r="L6" s="82">
        <f t="shared" si="1"/>
        <v>1.2251524213078602</v>
      </c>
    </row>
    <row r="7" spans="1:12" s="84" customFormat="1" ht="18" x14ac:dyDescent="0.25">
      <c r="A7" s="81" t="s">
        <v>31</v>
      </c>
      <c r="B7" s="78" t="s">
        <v>32</v>
      </c>
      <c r="C7" s="123"/>
      <c r="D7" s="122">
        <v>3</v>
      </c>
      <c r="E7" s="122">
        <v>3</v>
      </c>
      <c r="F7" s="122">
        <v>4</v>
      </c>
      <c r="G7" s="122">
        <v>5</v>
      </c>
      <c r="H7" s="80"/>
      <c r="I7" s="122">
        <f t="shared" ref="I7:I55" si="2">STANDARDIZE(D7,$I$1,$K$1)</f>
        <v>-0.57291300276986268</v>
      </c>
      <c r="J7" s="122">
        <f t="shared" ref="J7:J55" si="3">STANDARDIZE(E7,$I$1,$K$1)</f>
        <v>-0.57291300276986268</v>
      </c>
      <c r="K7" s="122">
        <f t="shared" ref="K7:K55" si="4">STANDARDIZE(F7,$I$1,$K$1)</f>
        <v>0.3261197092689988</v>
      </c>
      <c r="L7" s="122">
        <f t="shared" ref="L7:L55" si="5">STANDARDIZE(G7,$I$1,$K$1)</f>
        <v>1.2251524213078602</v>
      </c>
    </row>
    <row r="8" spans="1:12" s="84" customFormat="1" ht="18" x14ac:dyDescent="0.25">
      <c r="A8" s="77" t="s">
        <v>33</v>
      </c>
      <c r="B8" s="78" t="s">
        <v>32</v>
      </c>
      <c r="C8" s="123"/>
      <c r="D8" s="122"/>
      <c r="E8" s="122"/>
      <c r="F8" s="122"/>
      <c r="G8" s="122"/>
      <c r="H8" s="80"/>
      <c r="I8" s="122"/>
      <c r="J8" s="122"/>
      <c r="K8" s="122"/>
      <c r="L8" s="122"/>
    </row>
    <row r="9" spans="1:12" s="84" customFormat="1" ht="18" x14ac:dyDescent="0.25">
      <c r="A9" s="77" t="s">
        <v>36</v>
      </c>
      <c r="B9" s="78" t="s">
        <v>37</v>
      </c>
      <c r="C9" s="79"/>
      <c r="D9" s="80">
        <v>2</v>
      </c>
      <c r="E9" s="80">
        <v>3</v>
      </c>
      <c r="F9" s="80">
        <v>4</v>
      </c>
      <c r="G9" s="80">
        <v>3</v>
      </c>
      <c r="H9" s="80"/>
      <c r="I9" s="82">
        <f t="shared" si="2"/>
        <v>-1.471945714808724</v>
      </c>
      <c r="J9" s="82">
        <f t="shared" si="3"/>
        <v>-0.57291300276986268</v>
      </c>
      <c r="K9" s="82">
        <f t="shared" si="4"/>
        <v>0.3261197092689988</v>
      </c>
      <c r="L9" s="82">
        <f t="shared" si="5"/>
        <v>-0.57291300276986268</v>
      </c>
    </row>
    <row r="10" spans="1:12" s="84" customFormat="1" ht="18" x14ac:dyDescent="0.25">
      <c r="A10" s="77" t="s">
        <v>38</v>
      </c>
      <c r="B10" s="78" t="s">
        <v>39</v>
      </c>
      <c r="C10" s="79"/>
      <c r="D10" s="80">
        <v>3</v>
      </c>
      <c r="E10" s="80">
        <v>4</v>
      </c>
      <c r="F10" s="80">
        <v>4</v>
      </c>
      <c r="G10" s="80">
        <v>4</v>
      </c>
      <c r="H10" s="80"/>
      <c r="I10" s="82">
        <f t="shared" si="2"/>
        <v>-0.57291300276986268</v>
      </c>
      <c r="J10" s="82">
        <f t="shared" si="3"/>
        <v>0.3261197092689988</v>
      </c>
      <c r="K10" s="82">
        <f t="shared" si="4"/>
        <v>0.3261197092689988</v>
      </c>
      <c r="L10" s="82">
        <f t="shared" si="5"/>
        <v>0.3261197092689988</v>
      </c>
    </row>
    <row r="11" spans="1:12" s="84" customFormat="1" ht="18" x14ac:dyDescent="0.25">
      <c r="A11" s="77" t="s">
        <v>42</v>
      </c>
      <c r="B11" s="78" t="s">
        <v>43</v>
      </c>
      <c r="C11" s="79"/>
      <c r="D11" s="80">
        <v>5</v>
      </c>
      <c r="E11" s="80">
        <v>4</v>
      </c>
      <c r="F11" s="80">
        <v>4</v>
      </c>
      <c r="G11" s="80">
        <v>4</v>
      </c>
      <c r="H11" s="80"/>
      <c r="I11" s="82">
        <f t="shared" si="2"/>
        <v>1.2251524213078602</v>
      </c>
      <c r="J11" s="82">
        <f t="shared" si="3"/>
        <v>0.3261197092689988</v>
      </c>
      <c r="K11" s="82">
        <f t="shared" si="4"/>
        <v>0.3261197092689988</v>
      </c>
      <c r="L11" s="82">
        <f t="shared" si="5"/>
        <v>0.3261197092689988</v>
      </c>
    </row>
    <row r="12" spans="1:12" s="84" customFormat="1" ht="18" x14ac:dyDescent="0.25">
      <c r="A12" s="77" t="s">
        <v>44</v>
      </c>
      <c r="B12" s="78" t="s">
        <v>45</v>
      </c>
      <c r="C12" s="79"/>
      <c r="D12" s="80">
        <v>5</v>
      </c>
      <c r="E12" s="80">
        <v>3</v>
      </c>
      <c r="F12" s="80">
        <v>5</v>
      </c>
      <c r="G12" s="80">
        <v>5</v>
      </c>
      <c r="H12" s="80"/>
      <c r="I12" s="82">
        <f t="shared" si="2"/>
        <v>1.2251524213078602</v>
      </c>
      <c r="J12" s="82">
        <f t="shared" si="3"/>
        <v>-0.57291300276986268</v>
      </c>
      <c r="K12" s="82">
        <f t="shared" si="4"/>
        <v>1.2251524213078602</v>
      </c>
      <c r="L12" s="82">
        <f t="shared" si="5"/>
        <v>1.2251524213078602</v>
      </c>
    </row>
    <row r="13" spans="1:12" s="84" customFormat="1" ht="18" x14ac:dyDescent="0.25">
      <c r="A13" s="77" t="s">
        <v>50</v>
      </c>
      <c r="B13" s="78" t="s">
        <v>51</v>
      </c>
      <c r="C13" s="79"/>
      <c r="D13" s="83">
        <v>3</v>
      </c>
      <c r="E13" s="83">
        <v>2</v>
      </c>
      <c r="F13" s="83">
        <v>5</v>
      </c>
      <c r="G13" s="83">
        <v>4</v>
      </c>
      <c r="H13" s="80"/>
      <c r="I13" s="82">
        <f t="shared" si="2"/>
        <v>-0.57291300276986268</v>
      </c>
      <c r="J13" s="82">
        <f t="shared" si="3"/>
        <v>-1.471945714808724</v>
      </c>
      <c r="K13" s="82">
        <f t="shared" si="4"/>
        <v>1.2251524213078602</v>
      </c>
      <c r="L13" s="82">
        <f t="shared" si="5"/>
        <v>0.3261197092689988</v>
      </c>
    </row>
    <row r="14" spans="1:12" s="84" customFormat="1" ht="18" x14ac:dyDescent="0.25">
      <c r="A14" s="77" t="s">
        <v>54</v>
      </c>
      <c r="B14" s="78" t="s">
        <v>55</v>
      </c>
      <c r="C14" s="79"/>
      <c r="D14" s="83">
        <v>5</v>
      </c>
      <c r="E14" s="83">
        <v>4</v>
      </c>
      <c r="F14" s="83">
        <v>5</v>
      </c>
      <c r="G14" s="83">
        <v>5</v>
      </c>
      <c r="H14" s="80"/>
      <c r="I14" s="82">
        <f t="shared" si="2"/>
        <v>1.2251524213078602</v>
      </c>
      <c r="J14" s="82">
        <f t="shared" si="3"/>
        <v>0.3261197092689988</v>
      </c>
      <c r="K14" s="82">
        <f t="shared" si="4"/>
        <v>1.2251524213078602</v>
      </c>
      <c r="L14" s="82">
        <f t="shared" si="5"/>
        <v>1.2251524213078602</v>
      </c>
    </row>
    <row r="15" spans="1:12" s="84" customFormat="1" ht="18" x14ac:dyDescent="0.25">
      <c r="A15" s="77" t="s">
        <v>56</v>
      </c>
      <c r="B15" s="78" t="s">
        <v>57</v>
      </c>
      <c r="C15" s="79"/>
      <c r="D15" s="80">
        <v>1</v>
      </c>
      <c r="E15" s="80">
        <v>1</v>
      </c>
      <c r="F15" s="80">
        <v>5</v>
      </c>
      <c r="G15" s="80">
        <v>4</v>
      </c>
      <c r="H15" s="80"/>
      <c r="I15" s="82">
        <f t="shared" si="2"/>
        <v>-2.3709784268475858</v>
      </c>
      <c r="J15" s="82">
        <f t="shared" si="3"/>
        <v>-2.3709784268475858</v>
      </c>
      <c r="K15" s="82">
        <f t="shared" si="4"/>
        <v>1.2251524213078602</v>
      </c>
      <c r="L15" s="82">
        <f t="shared" si="5"/>
        <v>0.3261197092689988</v>
      </c>
    </row>
    <row r="16" spans="1:12" s="88" customFormat="1" ht="18" x14ac:dyDescent="0.25">
      <c r="A16" s="77" t="s">
        <v>60</v>
      </c>
      <c r="B16" s="78" t="s">
        <v>61</v>
      </c>
      <c r="C16" s="84"/>
      <c r="D16" s="83">
        <v>2</v>
      </c>
      <c r="E16" s="83">
        <v>4</v>
      </c>
      <c r="F16" s="83">
        <v>5</v>
      </c>
      <c r="G16" s="83">
        <v>4</v>
      </c>
      <c r="H16" s="80"/>
      <c r="I16" s="82">
        <f t="shared" si="2"/>
        <v>-1.471945714808724</v>
      </c>
      <c r="J16" s="82">
        <f t="shared" si="3"/>
        <v>0.3261197092689988</v>
      </c>
      <c r="K16" s="82">
        <f t="shared" si="4"/>
        <v>1.2251524213078602</v>
      </c>
      <c r="L16" s="82">
        <f t="shared" si="5"/>
        <v>0.3261197092689988</v>
      </c>
    </row>
    <row r="17" spans="1:12" s="84" customFormat="1" ht="18" x14ac:dyDescent="0.25">
      <c r="A17" s="77" t="s">
        <v>70</v>
      </c>
      <c r="B17" s="78" t="s">
        <v>71</v>
      </c>
      <c r="C17" s="79"/>
      <c r="D17" s="83">
        <v>5</v>
      </c>
      <c r="E17" s="83">
        <v>3</v>
      </c>
      <c r="F17" s="83">
        <v>4</v>
      </c>
      <c r="G17" s="83">
        <v>3</v>
      </c>
      <c r="H17" s="80"/>
      <c r="I17" s="82">
        <f t="shared" si="2"/>
        <v>1.2251524213078602</v>
      </c>
      <c r="J17" s="82">
        <f t="shared" si="3"/>
        <v>-0.57291300276986268</v>
      </c>
      <c r="K17" s="82">
        <f t="shared" si="4"/>
        <v>0.3261197092689988</v>
      </c>
      <c r="L17" s="82">
        <f t="shared" si="5"/>
        <v>-0.57291300276986268</v>
      </c>
    </row>
    <row r="18" spans="1:12" s="84" customFormat="1" ht="18" x14ac:dyDescent="0.25">
      <c r="A18" s="77" t="s">
        <v>78</v>
      </c>
      <c r="B18" s="78" t="s">
        <v>53</v>
      </c>
      <c r="C18" s="79"/>
      <c r="D18" s="80">
        <v>3</v>
      </c>
      <c r="E18" s="80">
        <v>2</v>
      </c>
      <c r="F18" s="80">
        <v>3</v>
      </c>
      <c r="G18" s="80">
        <v>2</v>
      </c>
      <c r="H18" s="80"/>
      <c r="I18" s="82">
        <f t="shared" si="2"/>
        <v>-0.57291300276986268</v>
      </c>
      <c r="J18" s="82">
        <f t="shared" si="3"/>
        <v>-1.471945714808724</v>
      </c>
      <c r="K18" s="82">
        <f t="shared" si="4"/>
        <v>-0.57291300276986268</v>
      </c>
      <c r="L18" s="82">
        <f t="shared" si="5"/>
        <v>-1.471945714808724</v>
      </c>
    </row>
    <row r="19" spans="1:12" s="84" customFormat="1" ht="18" x14ac:dyDescent="0.25">
      <c r="A19" s="77" t="s">
        <v>79</v>
      </c>
      <c r="B19" s="78" t="s">
        <v>80</v>
      </c>
      <c r="C19" s="79"/>
      <c r="D19" s="80">
        <v>4</v>
      </c>
      <c r="E19" s="80">
        <v>5</v>
      </c>
      <c r="F19" s="80">
        <v>3</v>
      </c>
      <c r="G19" s="80">
        <v>4</v>
      </c>
      <c r="H19" s="80"/>
      <c r="I19" s="82">
        <f t="shared" si="2"/>
        <v>0.3261197092689988</v>
      </c>
      <c r="J19" s="82">
        <f t="shared" si="3"/>
        <v>1.2251524213078602</v>
      </c>
      <c r="K19" s="82">
        <f t="shared" si="4"/>
        <v>-0.57291300276986268</v>
      </c>
      <c r="L19" s="82">
        <f t="shared" si="5"/>
        <v>0.3261197092689988</v>
      </c>
    </row>
    <row r="20" spans="1:12" s="84" customFormat="1" ht="18" x14ac:dyDescent="0.25">
      <c r="A20" s="77" t="s">
        <v>81</v>
      </c>
      <c r="B20" s="78" t="s">
        <v>82</v>
      </c>
      <c r="C20" s="79"/>
      <c r="D20" s="80">
        <v>4</v>
      </c>
      <c r="E20" s="80">
        <v>4</v>
      </c>
      <c r="F20" s="80">
        <v>5</v>
      </c>
      <c r="G20" s="80">
        <v>5</v>
      </c>
      <c r="H20" s="80"/>
      <c r="I20" s="82">
        <f t="shared" si="2"/>
        <v>0.3261197092689988</v>
      </c>
      <c r="J20" s="82">
        <f t="shared" si="3"/>
        <v>0.3261197092689988</v>
      </c>
      <c r="K20" s="82">
        <f t="shared" si="4"/>
        <v>1.2251524213078602</v>
      </c>
      <c r="L20" s="82">
        <f t="shared" si="5"/>
        <v>1.2251524213078602</v>
      </c>
    </row>
    <row r="21" spans="1:12" s="84" customFormat="1" ht="18" x14ac:dyDescent="0.25">
      <c r="A21" s="77" t="s">
        <v>85</v>
      </c>
      <c r="B21" s="78" t="s">
        <v>86</v>
      </c>
      <c r="C21" s="79"/>
      <c r="D21" s="80">
        <v>3</v>
      </c>
      <c r="E21" s="80">
        <v>4</v>
      </c>
      <c r="F21" s="80">
        <v>5</v>
      </c>
      <c r="G21" s="80">
        <v>5</v>
      </c>
      <c r="H21" s="80"/>
      <c r="I21" s="82">
        <f t="shared" si="2"/>
        <v>-0.57291300276986268</v>
      </c>
      <c r="J21" s="82">
        <f t="shared" si="3"/>
        <v>0.3261197092689988</v>
      </c>
      <c r="K21" s="82">
        <f t="shared" si="4"/>
        <v>1.2251524213078602</v>
      </c>
      <c r="L21" s="82">
        <f t="shared" si="5"/>
        <v>1.2251524213078602</v>
      </c>
    </row>
    <row r="22" spans="1:12" s="84" customFormat="1" ht="18" x14ac:dyDescent="0.25">
      <c r="A22" s="77" t="s">
        <v>97</v>
      </c>
      <c r="B22" s="78" t="s">
        <v>98</v>
      </c>
      <c r="C22" s="79"/>
      <c r="D22" s="80">
        <v>2</v>
      </c>
      <c r="E22" s="80">
        <v>3</v>
      </c>
      <c r="F22" s="80">
        <v>3</v>
      </c>
      <c r="G22" s="80">
        <v>3</v>
      </c>
      <c r="H22" s="80"/>
      <c r="I22" s="82">
        <f t="shared" si="2"/>
        <v>-1.471945714808724</v>
      </c>
      <c r="J22" s="82">
        <f t="shared" si="3"/>
        <v>-0.57291300276986268</v>
      </c>
      <c r="K22" s="82">
        <f t="shared" si="4"/>
        <v>-0.57291300276986268</v>
      </c>
      <c r="L22" s="82">
        <f t="shared" si="5"/>
        <v>-0.57291300276986268</v>
      </c>
    </row>
    <row r="23" spans="1:12" s="84" customFormat="1" ht="18" x14ac:dyDescent="0.25">
      <c r="A23" s="77" t="s">
        <v>101</v>
      </c>
      <c r="B23" s="78" t="s">
        <v>102</v>
      </c>
      <c r="C23" s="79"/>
      <c r="D23" s="80">
        <v>5</v>
      </c>
      <c r="E23" s="80">
        <v>4</v>
      </c>
      <c r="F23" s="80">
        <v>5</v>
      </c>
      <c r="G23" s="80">
        <v>5</v>
      </c>
      <c r="H23" s="80"/>
      <c r="I23" s="82">
        <f t="shared" si="2"/>
        <v>1.2251524213078602</v>
      </c>
      <c r="J23" s="82">
        <f t="shared" si="3"/>
        <v>0.3261197092689988</v>
      </c>
      <c r="K23" s="82">
        <f t="shared" si="4"/>
        <v>1.2251524213078602</v>
      </c>
      <c r="L23" s="82">
        <f t="shared" si="5"/>
        <v>1.2251524213078602</v>
      </c>
    </row>
    <row r="24" spans="1:12" s="84" customFormat="1" ht="18" x14ac:dyDescent="0.25">
      <c r="A24" s="77" t="s">
        <v>107</v>
      </c>
      <c r="B24" s="78" t="s">
        <v>108</v>
      </c>
      <c r="C24" s="79"/>
      <c r="D24" s="80">
        <v>4</v>
      </c>
      <c r="E24" s="80">
        <v>4</v>
      </c>
      <c r="F24" s="80">
        <v>5</v>
      </c>
      <c r="G24" s="80">
        <v>4</v>
      </c>
      <c r="H24" s="80"/>
      <c r="I24" s="82">
        <f t="shared" si="2"/>
        <v>0.3261197092689988</v>
      </c>
      <c r="J24" s="82">
        <f t="shared" si="3"/>
        <v>0.3261197092689988</v>
      </c>
      <c r="K24" s="82">
        <f t="shared" si="4"/>
        <v>1.2251524213078602</v>
      </c>
      <c r="L24" s="82">
        <f t="shared" si="5"/>
        <v>0.3261197092689988</v>
      </c>
    </row>
    <row r="25" spans="1:12" s="84" customFormat="1" ht="18" x14ac:dyDescent="0.25">
      <c r="A25" s="77" t="s">
        <v>109</v>
      </c>
      <c r="B25" s="78" t="s">
        <v>110</v>
      </c>
      <c r="C25" s="79"/>
      <c r="D25" s="80">
        <v>4</v>
      </c>
      <c r="E25" s="80">
        <v>3</v>
      </c>
      <c r="F25" s="80">
        <v>4</v>
      </c>
      <c r="G25" s="80">
        <v>4</v>
      </c>
      <c r="H25" s="80"/>
      <c r="I25" s="82">
        <f t="shared" si="2"/>
        <v>0.3261197092689988</v>
      </c>
      <c r="J25" s="82">
        <f t="shared" si="3"/>
        <v>-0.57291300276986268</v>
      </c>
      <c r="K25" s="82">
        <f t="shared" si="4"/>
        <v>0.3261197092689988</v>
      </c>
      <c r="L25" s="82">
        <f t="shared" si="5"/>
        <v>0.3261197092689988</v>
      </c>
    </row>
    <row r="26" spans="1:12" s="84" customFormat="1" ht="18" x14ac:dyDescent="0.25">
      <c r="A26" s="77" t="s">
        <v>111</v>
      </c>
      <c r="B26" s="78" t="s">
        <v>112</v>
      </c>
      <c r="C26" s="79"/>
      <c r="D26" s="80">
        <v>4</v>
      </c>
      <c r="E26" s="80">
        <v>5</v>
      </c>
      <c r="F26" s="80">
        <v>5</v>
      </c>
      <c r="G26" s="80">
        <v>5</v>
      </c>
      <c r="H26" s="80"/>
      <c r="I26" s="82">
        <f t="shared" si="2"/>
        <v>0.3261197092689988</v>
      </c>
      <c r="J26" s="82">
        <f t="shared" si="3"/>
        <v>1.2251524213078602</v>
      </c>
      <c r="K26" s="82">
        <f t="shared" si="4"/>
        <v>1.2251524213078602</v>
      </c>
      <c r="L26" s="82">
        <f t="shared" si="5"/>
        <v>1.2251524213078602</v>
      </c>
    </row>
    <row r="27" spans="1:12" s="84" customFormat="1" ht="18" x14ac:dyDescent="0.25">
      <c r="A27" s="77" t="s">
        <v>121</v>
      </c>
      <c r="B27" s="78" t="s">
        <v>122</v>
      </c>
      <c r="C27" s="79"/>
      <c r="D27" s="80">
        <v>3</v>
      </c>
      <c r="E27" s="80">
        <v>3</v>
      </c>
      <c r="F27" s="80">
        <v>3</v>
      </c>
      <c r="G27" s="80">
        <v>3</v>
      </c>
      <c r="H27" s="80"/>
      <c r="I27" s="82">
        <f t="shared" si="2"/>
        <v>-0.57291300276986268</v>
      </c>
      <c r="J27" s="82">
        <f t="shared" si="3"/>
        <v>-0.57291300276986268</v>
      </c>
      <c r="K27" s="82">
        <f t="shared" si="4"/>
        <v>-0.57291300276986268</v>
      </c>
      <c r="L27" s="82">
        <f t="shared" si="5"/>
        <v>-0.57291300276986268</v>
      </c>
    </row>
    <row r="28" spans="1:12" s="84" customFormat="1" ht="18" x14ac:dyDescent="0.25">
      <c r="A28" s="77" t="s">
        <v>123</v>
      </c>
      <c r="B28" s="78" t="s">
        <v>124</v>
      </c>
      <c r="C28" s="79"/>
      <c r="D28" s="80">
        <v>1</v>
      </c>
      <c r="E28" s="80">
        <v>2</v>
      </c>
      <c r="F28" s="80">
        <v>3</v>
      </c>
      <c r="G28" s="80">
        <v>2</v>
      </c>
      <c r="H28" s="80"/>
      <c r="I28" s="82">
        <f t="shared" si="2"/>
        <v>-2.3709784268475858</v>
      </c>
      <c r="J28" s="82">
        <f t="shared" si="3"/>
        <v>-1.471945714808724</v>
      </c>
      <c r="K28" s="82">
        <f t="shared" si="4"/>
        <v>-0.57291300276986268</v>
      </c>
      <c r="L28" s="82">
        <f t="shared" si="5"/>
        <v>-1.471945714808724</v>
      </c>
    </row>
    <row r="29" spans="1:12" s="84" customFormat="1" ht="18" x14ac:dyDescent="0.25">
      <c r="A29" s="78" t="s">
        <v>134</v>
      </c>
      <c r="B29" s="78" t="s">
        <v>135</v>
      </c>
      <c r="C29" s="79"/>
      <c r="D29" s="80">
        <v>1</v>
      </c>
      <c r="E29" s="80">
        <v>2</v>
      </c>
      <c r="F29" s="80">
        <v>3</v>
      </c>
      <c r="G29" s="80">
        <v>2</v>
      </c>
      <c r="H29" s="80"/>
      <c r="I29" s="82">
        <f t="shared" si="2"/>
        <v>-2.3709784268475858</v>
      </c>
      <c r="J29" s="82">
        <f t="shared" si="3"/>
        <v>-1.471945714808724</v>
      </c>
      <c r="K29" s="82">
        <f t="shared" si="4"/>
        <v>-0.57291300276986268</v>
      </c>
      <c r="L29" s="82">
        <f t="shared" si="5"/>
        <v>-1.471945714808724</v>
      </c>
    </row>
    <row r="30" spans="1:12" s="84" customFormat="1" ht="18" x14ac:dyDescent="0.25">
      <c r="A30" s="78" t="s">
        <v>145</v>
      </c>
      <c r="B30" s="78" t="s">
        <v>146</v>
      </c>
      <c r="C30" s="85">
        <v>42345</v>
      </c>
      <c r="D30" s="80">
        <v>1</v>
      </c>
      <c r="E30" s="80">
        <v>2</v>
      </c>
      <c r="F30" s="80">
        <v>3</v>
      </c>
      <c r="G30" s="80">
        <v>3</v>
      </c>
      <c r="H30" s="80"/>
      <c r="I30" s="82">
        <f t="shared" si="2"/>
        <v>-2.3709784268475858</v>
      </c>
      <c r="J30" s="82">
        <f t="shared" si="3"/>
        <v>-1.471945714808724</v>
      </c>
      <c r="K30" s="82">
        <f t="shared" si="4"/>
        <v>-0.57291300276986268</v>
      </c>
      <c r="L30" s="82">
        <f t="shared" si="5"/>
        <v>-0.57291300276986268</v>
      </c>
    </row>
    <row r="31" spans="1:12" s="84" customFormat="1" ht="18" x14ac:dyDescent="0.25">
      <c r="A31" s="78" t="s">
        <v>153</v>
      </c>
      <c r="B31" s="78" t="s">
        <v>154</v>
      </c>
      <c r="C31" s="85">
        <v>42340</v>
      </c>
      <c r="D31" s="80">
        <v>1</v>
      </c>
      <c r="E31" s="80">
        <v>2</v>
      </c>
      <c r="F31" s="80">
        <v>2</v>
      </c>
      <c r="G31" s="80">
        <v>1</v>
      </c>
      <c r="H31" s="80"/>
      <c r="I31" s="82">
        <f t="shared" si="2"/>
        <v>-2.3709784268475858</v>
      </c>
      <c r="J31" s="82">
        <f t="shared" si="3"/>
        <v>-1.471945714808724</v>
      </c>
      <c r="K31" s="82">
        <f t="shared" si="4"/>
        <v>-1.471945714808724</v>
      </c>
      <c r="L31" s="82">
        <f t="shared" si="5"/>
        <v>-2.3709784268475858</v>
      </c>
    </row>
    <row r="32" spans="1:12" s="84" customFormat="1" ht="18" x14ac:dyDescent="0.25">
      <c r="A32" s="78" t="s">
        <v>163</v>
      </c>
      <c r="B32" s="78" t="s">
        <v>162</v>
      </c>
      <c r="C32" s="85">
        <v>42343</v>
      </c>
      <c r="D32" s="80">
        <v>4</v>
      </c>
      <c r="E32" s="80">
        <v>5</v>
      </c>
      <c r="F32" s="80">
        <v>3</v>
      </c>
      <c r="G32" s="80">
        <v>2</v>
      </c>
      <c r="H32" s="80"/>
      <c r="I32" s="82">
        <f t="shared" si="2"/>
        <v>0.3261197092689988</v>
      </c>
      <c r="J32" s="82">
        <f t="shared" si="3"/>
        <v>1.2251524213078602</v>
      </c>
      <c r="K32" s="82">
        <f t="shared" si="4"/>
        <v>-0.57291300276986268</v>
      </c>
      <c r="L32" s="82">
        <f t="shared" si="5"/>
        <v>-1.471945714808724</v>
      </c>
    </row>
    <row r="33" spans="1:12" s="84" customFormat="1" ht="18" x14ac:dyDescent="0.25">
      <c r="A33" s="78" t="s">
        <v>166</v>
      </c>
      <c r="B33" s="78" t="s">
        <v>167</v>
      </c>
      <c r="C33" s="85">
        <v>42350</v>
      </c>
      <c r="D33" s="80">
        <v>5</v>
      </c>
      <c r="E33" s="80">
        <v>4</v>
      </c>
      <c r="F33" s="80">
        <v>4</v>
      </c>
      <c r="G33" s="80">
        <v>4</v>
      </c>
      <c r="H33" s="80"/>
      <c r="I33" s="82">
        <f t="shared" si="2"/>
        <v>1.2251524213078602</v>
      </c>
      <c r="J33" s="82">
        <f t="shared" si="3"/>
        <v>0.3261197092689988</v>
      </c>
      <c r="K33" s="82">
        <f t="shared" si="4"/>
        <v>0.3261197092689988</v>
      </c>
      <c r="L33" s="82">
        <f t="shared" si="5"/>
        <v>0.3261197092689988</v>
      </c>
    </row>
    <row r="34" spans="1:12" s="84" customFormat="1" ht="18" x14ac:dyDescent="0.25">
      <c r="A34" s="78" t="s">
        <v>164</v>
      </c>
      <c r="B34" s="78" t="s">
        <v>165</v>
      </c>
      <c r="C34" s="85">
        <v>42351</v>
      </c>
      <c r="D34" s="80">
        <v>5</v>
      </c>
      <c r="E34" s="80">
        <v>2</v>
      </c>
      <c r="F34" s="80">
        <v>5</v>
      </c>
      <c r="G34" s="80">
        <v>4</v>
      </c>
      <c r="H34" s="80"/>
      <c r="I34" s="82">
        <f t="shared" si="2"/>
        <v>1.2251524213078602</v>
      </c>
      <c r="J34" s="82">
        <f t="shared" si="3"/>
        <v>-1.471945714808724</v>
      </c>
      <c r="K34" s="82">
        <f t="shared" si="4"/>
        <v>1.2251524213078602</v>
      </c>
      <c r="L34" s="82">
        <f t="shared" si="5"/>
        <v>0.3261197092689988</v>
      </c>
    </row>
    <row r="35" spans="1:12" s="12" customFormat="1" ht="18" x14ac:dyDescent="0.25">
      <c r="B35" s="7"/>
      <c r="C35" s="7"/>
      <c r="D35" s="76"/>
      <c r="E35" s="76"/>
      <c r="F35" s="76"/>
      <c r="G35" s="76"/>
      <c r="H35" s="80"/>
      <c r="I35" s="82"/>
      <c r="J35" s="82"/>
      <c r="K35" s="82"/>
      <c r="L35" s="82"/>
    </row>
    <row r="36" spans="1:12" s="12" customFormat="1" ht="18" x14ac:dyDescent="0.25">
      <c r="A36" s="1" t="s">
        <v>1</v>
      </c>
      <c r="B36" s="7"/>
      <c r="C36" s="7"/>
      <c r="D36" s="76"/>
      <c r="E36" s="76"/>
      <c r="F36" s="76"/>
      <c r="G36" s="76"/>
      <c r="H36" s="80"/>
      <c r="I36" s="82"/>
      <c r="J36" s="82"/>
      <c r="K36" s="82"/>
      <c r="L36" s="82"/>
    </row>
    <row r="37" spans="1:12" s="84" customFormat="1" ht="18" x14ac:dyDescent="0.25">
      <c r="A37" s="77" t="s">
        <v>23</v>
      </c>
      <c r="B37" s="78" t="s">
        <v>24</v>
      </c>
      <c r="C37" s="79"/>
      <c r="D37" s="80">
        <v>4</v>
      </c>
      <c r="E37" s="80">
        <v>3</v>
      </c>
      <c r="F37" s="80">
        <v>3</v>
      </c>
      <c r="G37" s="80">
        <v>3</v>
      </c>
      <c r="H37" s="80"/>
      <c r="I37" s="82">
        <f t="shared" si="2"/>
        <v>0.3261197092689988</v>
      </c>
      <c r="J37" s="82">
        <f t="shared" si="3"/>
        <v>-0.57291300276986268</v>
      </c>
      <c r="K37" s="82">
        <f t="shared" si="4"/>
        <v>-0.57291300276986268</v>
      </c>
      <c r="L37" s="82">
        <f t="shared" si="5"/>
        <v>-0.57291300276986268</v>
      </c>
    </row>
    <row r="38" spans="1:12" s="84" customFormat="1" ht="18" x14ac:dyDescent="0.25">
      <c r="A38" s="77" t="s">
        <v>25</v>
      </c>
      <c r="B38" s="78" t="s">
        <v>26</v>
      </c>
      <c r="C38" s="79"/>
      <c r="D38" s="80">
        <v>4</v>
      </c>
      <c r="E38" s="80">
        <v>4</v>
      </c>
      <c r="F38" s="80">
        <v>4</v>
      </c>
      <c r="G38" s="80">
        <v>4</v>
      </c>
      <c r="H38" s="80"/>
      <c r="I38" s="82">
        <f t="shared" si="2"/>
        <v>0.3261197092689988</v>
      </c>
      <c r="J38" s="82">
        <f t="shared" si="3"/>
        <v>0.3261197092689988</v>
      </c>
      <c r="K38" s="82">
        <f t="shared" si="4"/>
        <v>0.3261197092689988</v>
      </c>
      <c r="L38" s="82">
        <f t="shared" si="5"/>
        <v>0.3261197092689988</v>
      </c>
    </row>
    <row r="39" spans="1:12" s="84" customFormat="1" ht="18" x14ac:dyDescent="0.25">
      <c r="A39" s="77" t="s">
        <v>27</v>
      </c>
      <c r="B39" s="78" t="s">
        <v>28</v>
      </c>
      <c r="C39" s="79"/>
      <c r="D39" s="80">
        <v>3</v>
      </c>
      <c r="E39" s="80">
        <v>3</v>
      </c>
      <c r="F39" s="80">
        <v>4</v>
      </c>
      <c r="G39" s="80">
        <v>4</v>
      </c>
      <c r="H39" s="80"/>
      <c r="I39" s="82">
        <f t="shared" si="2"/>
        <v>-0.57291300276986268</v>
      </c>
      <c r="J39" s="82">
        <f t="shared" si="3"/>
        <v>-0.57291300276986268</v>
      </c>
      <c r="K39" s="82">
        <f t="shared" si="4"/>
        <v>0.3261197092689988</v>
      </c>
      <c r="L39" s="82">
        <f t="shared" si="5"/>
        <v>0.3261197092689988</v>
      </c>
    </row>
    <row r="40" spans="1:12" s="84" customFormat="1" ht="31.5" x14ac:dyDescent="0.25">
      <c r="A40" s="77" t="s">
        <v>48</v>
      </c>
      <c r="B40" s="78" t="s">
        <v>49</v>
      </c>
      <c r="C40" s="79"/>
      <c r="D40" s="83">
        <v>5</v>
      </c>
      <c r="E40" s="83">
        <v>4</v>
      </c>
      <c r="F40" s="83">
        <v>4</v>
      </c>
      <c r="G40" s="83">
        <v>4</v>
      </c>
      <c r="H40" s="80"/>
      <c r="I40" s="82">
        <f t="shared" si="2"/>
        <v>1.2251524213078602</v>
      </c>
      <c r="J40" s="82">
        <f t="shared" si="3"/>
        <v>0.3261197092689988</v>
      </c>
      <c r="K40" s="82">
        <f t="shared" si="4"/>
        <v>0.3261197092689988</v>
      </c>
      <c r="L40" s="82">
        <f t="shared" si="5"/>
        <v>0.3261197092689988</v>
      </c>
    </row>
    <row r="41" spans="1:12" s="84" customFormat="1" ht="18" x14ac:dyDescent="0.25">
      <c r="A41" s="77" t="s">
        <v>76</v>
      </c>
      <c r="B41" s="78" t="s">
        <v>77</v>
      </c>
      <c r="C41" s="79"/>
      <c r="D41" s="80">
        <v>2</v>
      </c>
      <c r="E41" s="80">
        <v>2</v>
      </c>
      <c r="F41" s="80">
        <v>4</v>
      </c>
      <c r="G41" s="80">
        <v>1</v>
      </c>
      <c r="H41" s="80"/>
      <c r="I41" s="82">
        <f t="shared" si="2"/>
        <v>-1.471945714808724</v>
      </c>
      <c r="J41" s="82">
        <f t="shared" si="3"/>
        <v>-1.471945714808724</v>
      </c>
      <c r="K41" s="82">
        <f t="shared" si="4"/>
        <v>0.3261197092689988</v>
      </c>
      <c r="L41" s="82">
        <f t="shared" si="5"/>
        <v>-2.3709784268475858</v>
      </c>
    </row>
    <row r="42" spans="1:12" s="84" customFormat="1" ht="18" x14ac:dyDescent="0.25">
      <c r="A42" s="77" t="s">
        <v>91</v>
      </c>
      <c r="B42" s="78" t="s">
        <v>92</v>
      </c>
      <c r="C42" s="79"/>
      <c r="D42" s="80">
        <v>2</v>
      </c>
      <c r="E42" s="80">
        <v>3</v>
      </c>
      <c r="F42" s="80">
        <v>4</v>
      </c>
      <c r="G42" s="80">
        <v>4</v>
      </c>
      <c r="H42" s="80"/>
      <c r="I42" s="82">
        <f t="shared" si="2"/>
        <v>-1.471945714808724</v>
      </c>
      <c r="J42" s="82">
        <f t="shared" si="3"/>
        <v>-0.57291300276986268</v>
      </c>
      <c r="K42" s="82">
        <f t="shared" si="4"/>
        <v>0.3261197092689988</v>
      </c>
      <c r="L42" s="82">
        <f t="shared" si="5"/>
        <v>0.3261197092689988</v>
      </c>
    </row>
    <row r="43" spans="1:12" s="84" customFormat="1" ht="18" x14ac:dyDescent="0.25">
      <c r="A43" s="77" t="s">
        <v>95</v>
      </c>
      <c r="B43" s="78" t="s">
        <v>96</v>
      </c>
      <c r="C43" s="79"/>
      <c r="D43" s="80">
        <v>5</v>
      </c>
      <c r="E43" s="80">
        <v>4</v>
      </c>
      <c r="F43" s="80">
        <v>4</v>
      </c>
      <c r="G43" s="80">
        <v>4</v>
      </c>
      <c r="H43" s="80"/>
      <c r="I43" s="82">
        <f t="shared" si="2"/>
        <v>1.2251524213078602</v>
      </c>
      <c r="J43" s="82">
        <f t="shared" si="3"/>
        <v>0.3261197092689988</v>
      </c>
      <c r="K43" s="82">
        <f t="shared" si="4"/>
        <v>0.3261197092689988</v>
      </c>
      <c r="L43" s="82">
        <f t="shared" si="5"/>
        <v>0.3261197092689988</v>
      </c>
    </row>
    <row r="44" spans="1:12" s="84" customFormat="1" ht="18" x14ac:dyDescent="0.25">
      <c r="A44" s="77" t="s">
        <v>115</v>
      </c>
      <c r="B44" s="78" t="s">
        <v>116</v>
      </c>
      <c r="C44" s="79"/>
      <c r="D44" s="80">
        <v>3</v>
      </c>
      <c r="E44" s="80">
        <v>2</v>
      </c>
      <c r="F44" s="80">
        <v>5</v>
      </c>
      <c r="G44" s="80">
        <v>5</v>
      </c>
      <c r="H44" s="80"/>
      <c r="I44" s="82">
        <f t="shared" si="2"/>
        <v>-0.57291300276986268</v>
      </c>
      <c r="J44" s="82">
        <f t="shared" si="3"/>
        <v>-1.471945714808724</v>
      </c>
      <c r="K44" s="82">
        <f t="shared" si="4"/>
        <v>1.2251524213078602</v>
      </c>
      <c r="L44" s="82">
        <f t="shared" si="5"/>
        <v>1.2251524213078602</v>
      </c>
    </row>
    <row r="45" spans="1:12" s="84" customFormat="1" ht="18" x14ac:dyDescent="0.25">
      <c r="A45" s="77" t="s">
        <v>117</v>
      </c>
      <c r="B45" s="78" t="s">
        <v>118</v>
      </c>
      <c r="C45" s="79"/>
      <c r="D45" s="80">
        <v>3</v>
      </c>
      <c r="E45" s="80">
        <v>3</v>
      </c>
      <c r="F45" s="80">
        <v>5</v>
      </c>
      <c r="G45" s="80">
        <v>4</v>
      </c>
      <c r="H45" s="80"/>
      <c r="I45" s="82">
        <f t="shared" si="2"/>
        <v>-0.57291300276986268</v>
      </c>
      <c r="J45" s="82">
        <f t="shared" si="3"/>
        <v>-0.57291300276986268</v>
      </c>
      <c r="K45" s="82">
        <f t="shared" si="4"/>
        <v>1.2251524213078602</v>
      </c>
      <c r="L45" s="82">
        <f t="shared" si="5"/>
        <v>0.3261197092689988</v>
      </c>
    </row>
    <row r="46" spans="1:12" s="84" customFormat="1" ht="18" x14ac:dyDescent="0.25">
      <c r="A46" s="78" t="s">
        <v>136</v>
      </c>
      <c r="B46" s="78" t="s">
        <v>137</v>
      </c>
      <c r="C46" s="85">
        <v>42340</v>
      </c>
      <c r="D46" s="80">
        <v>2</v>
      </c>
      <c r="E46" s="80">
        <v>4</v>
      </c>
      <c r="F46" s="80">
        <v>4</v>
      </c>
      <c r="G46" s="80">
        <v>4</v>
      </c>
      <c r="H46" s="80"/>
      <c r="I46" s="82">
        <f t="shared" si="2"/>
        <v>-1.471945714808724</v>
      </c>
      <c r="J46" s="82">
        <f t="shared" si="3"/>
        <v>0.3261197092689988</v>
      </c>
      <c r="K46" s="82">
        <f t="shared" si="4"/>
        <v>0.3261197092689988</v>
      </c>
      <c r="L46" s="82">
        <f t="shared" si="5"/>
        <v>0.3261197092689988</v>
      </c>
    </row>
    <row r="47" spans="1:12" s="12" customFormat="1" ht="18" x14ac:dyDescent="0.25">
      <c r="A47" s="6"/>
      <c r="B47" s="6"/>
      <c r="D47" s="76"/>
      <c r="E47" s="76"/>
      <c r="F47" s="76"/>
      <c r="G47" s="76"/>
      <c r="H47" s="80"/>
      <c r="I47" s="82"/>
      <c r="J47" s="82"/>
      <c r="K47" s="82"/>
      <c r="L47" s="82"/>
    </row>
    <row r="48" spans="1:12" s="12" customFormat="1" ht="18" x14ac:dyDescent="0.25">
      <c r="A48" s="1" t="s">
        <v>2</v>
      </c>
      <c r="B48" s="7"/>
      <c r="C48" s="7"/>
      <c r="D48" s="76"/>
      <c r="E48" s="76"/>
      <c r="F48" s="76"/>
      <c r="G48" s="76"/>
      <c r="H48" s="80"/>
      <c r="I48" s="82"/>
      <c r="J48" s="82"/>
      <c r="K48" s="82"/>
      <c r="L48" s="82"/>
    </row>
    <row r="49" spans="1:12" s="84" customFormat="1" ht="18" x14ac:dyDescent="0.25">
      <c r="A49" s="77" t="s">
        <v>40</v>
      </c>
      <c r="B49" s="78" t="s">
        <v>41</v>
      </c>
      <c r="C49" s="79"/>
      <c r="D49" s="80">
        <v>5</v>
      </c>
      <c r="E49" s="80">
        <v>4</v>
      </c>
      <c r="F49" s="80">
        <v>3</v>
      </c>
      <c r="G49" s="80">
        <v>2</v>
      </c>
      <c r="H49" s="80"/>
      <c r="I49" s="82">
        <f t="shared" si="2"/>
        <v>1.2251524213078602</v>
      </c>
      <c r="J49" s="82">
        <f t="shared" si="3"/>
        <v>0.3261197092689988</v>
      </c>
      <c r="K49" s="82">
        <f t="shared" si="4"/>
        <v>-0.57291300276986268</v>
      </c>
      <c r="L49" s="82">
        <f t="shared" si="5"/>
        <v>-1.471945714808724</v>
      </c>
    </row>
    <row r="50" spans="1:12" s="84" customFormat="1" ht="18" x14ac:dyDescent="0.25">
      <c r="A50" s="77" t="s">
        <v>64</v>
      </c>
      <c r="B50" s="78" t="s">
        <v>65</v>
      </c>
      <c r="C50" s="79"/>
      <c r="D50" s="83">
        <v>3</v>
      </c>
      <c r="E50" s="83">
        <v>1</v>
      </c>
      <c r="F50" s="83">
        <v>5</v>
      </c>
      <c r="G50" s="83">
        <v>5</v>
      </c>
      <c r="H50" s="80"/>
      <c r="I50" s="82">
        <f t="shared" si="2"/>
        <v>-0.57291300276986268</v>
      </c>
      <c r="J50" s="82">
        <f t="shared" si="3"/>
        <v>-2.3709784268475858</v>
      </c>
      <c r="K50" s="82">
        <f t="shared" si="4"/>
        <v>1.2251524213078602</v>
      </c>
      <c r="L50" s="82">
        <f t="shared" si="5"/>
        <v>1.2251524213078602</v>
      </c>
    </row>
    <row r="51" spans="1:12" s="84" customFormat="1" ht="18" x14ac:dyDescent="0.25">
      <c r="A51" s="77" t="s">
        <v>99</v>
      </c>
      <c r="B51" s="78" t="s">
        <v>100</v>
      </c>
      <c r="C51" s="79"/>
      <c r="D51" s="80">
        <v>5</v>
      </c>
      <c r="E51" s="80">
        <v>5</v>
      </c>
      <c r="F51" s="80">
        <v>5</v>
      </c>
      <c r="G51" s="80">
        <v>5</v>
      </c>
      <c r="H51" s="80"/>
      <c r="I51" s="82">
        <f t="shared" si="2"/>
        <v>1.2251524213078602</v>
      </c>
      <c r="J51" s="82">
        <f t="shared" si="3"/>
        <v>1.2251524213078602</v>
      </c>
      <c r="K51" s="82">
        <f t="shared" si="4"/>
        <v>1.2251524213078602</v>
      </c>
      <c r="L51" s="82">
        <f t="shared" si="5"/>
        <v>1.2251524213078602</v>
      </c>
    </row>
    <row r="52" spans="1:12" s="84" customFormat="1" ht="18" x14ac:dyDescent="0.25">
      <c r="A52" s="77" t="s">
        <v>103</v>
      </c>
      <c r="B52" s="78" t="s">
        <v>104</v>
      </c>
      <c r="C52" s="79"/>
      <c r="D52" s="80">
        <v>4</v>
      </c>
      <c r="E52" s="80">
        <v>3</v>
      </c>
      <c r="F52" s="80">
        <v>5</v>
      </c>
      <c r="G52" s="80">
        <v>5</v>
      </c>
      <c r="H52" s="80"/>
      <c r="I52" s="82">
        <f t="shared" si="2"/>
        <v>0.3261197092689988</v>
      </c>
      <c r="J52" s="82">
        <f t="shared" si="3"/>
        <v>-0.57291300276986268</v>
      </c>
      <c r="K52" s="82">
        <f t="shared" si="4"/>
        <v>1.2251524213078602</v>
      </c>
      <c r="L52" s="82">
        <f t="shared" si="5"/>
        <v>1.2251524213078602</v>
      </c>
    </row>
    <row r="53" spans="1:12" s="84" customFormat="1" ht="31.5" x14ac:dyDescent="0.25">
      <c r="A53" s="77" t="s">
        <v>113</v>
      </c>
      <c r="B53" s="78" t="s">
        <v>114</v>
      </c>
      <c r="C53" s="79"/>
      <c r="D53" s="80">
        <v>4</v>
      </c>
      <c r="E53" s="80">
        <v>4</v>
      </c>
      <c r="F53" s="80">
        <v>3</v>
      </c>
      <c r="G53" s="80">
        <v>4</v>
      </c>
      <c r="H53" s="80"/>
      <c r="I53" s="82">
        <f t="shared" si="2"/>
        <v>0.3261197092689988</v>
      </c>
      <c r="J53" s="82">
        <f t="shared" si="3"/>
        <v>0.3261197092689988</v>
      </c>
      <c r="K53" s="82">
        <f t="shared" si="4"/>
        <v>-0.57291300276986268</v>
      </c>
      <c r="L53" s="82">
        <f t="shared" si="5"/>
        <v>0.3261197092689988</v>
      </c>
    </row>
    <row r="54" spans="1:12" s="84" customFormat="1" ht="31.5" x14ac:dyDescent="0.25">
      <c r="A54" s="77" t="s">
        <v>119</v>
      </c>
      <c r="B54" s="78" t="s">
        <v>120</v>
      </c>
      <c r="C54" s="79"/>
      <c r="D54" s="80">
        <v>2</v>
      </c>
      <c r="E54" s="80">
        <v>3</v>
      </c>
      <c r="F54" s="80">
        <v>5</v>
      </c>
      <c r="G54" s="80">
        <v>4</v>
      </c>
      <c r="H54" s="80"/>
      <c r="I54" s="82">
        <f t="shared" si="2"/>
        <v>-1.471945714808724</v>
      </c>
      <c r="J54" s="82">
        <f t="shared" si="3"/>
        <v>-0.57291300276986268</v>
      </c>
      <c r="K54" s="82">
        <f t="shared" si="4"/>
        <v>1.2251524213078602</v>
      </c>
      <c r="L54" s="82">
        <f t="shared" si="5"/>
        <v>0.3261197092689988</v>
      </c>
    </row>
    <row r="55" spans="1:12" s="84" customFormat="1" ht="18" x14ac:dyDescent="0.25">
      <c r="A55" s="78" t="s">
        <v>161</v>
      </c>
      <c r="B55" s="78" t="s">
        <v>162</v>
      </c>
      <c r="C55" s="85">
        <v>42344</v>
      </c>
      <c r="D55" s="80">
        <v>3</v>
      </c>
      <c r="E55" s="80">
        <v>5</v>
      </c>
      <c r="F55" s="80">
        <v>5</v>
      </c>
      <c r="G55" s="80">
        <v>5</v>
      </c>
      <c r="H55" s="80"/>
      <c r="I55" s="82">
        <f t="shared" si="2"/>
        <v>-0.57291300276986268</v>
      </c>
      <c r="J55" s="82">
        <f t="shared" si="3"/>
        <v>1.2251524213078602</v>
      </c>
      <c r="K55" s="82">
        <f t="shared" si="4"/>
        <v>1.2251524213078602</v>
      </c>
      <c r="L55" s="82">
        <f t="shared" si="5"/>
        <v>1.2251524213078602</v>
      </c>
    </row>
    <row r="56" spans="1:12" s="12" customFormat="1" ht="18" x14ac:dyDescent="0.25">
      <c r="D56" s="76"/>
      <c r="E56" s="76"/>
      <c r="F56" s="76"/>
      <c r="G56" s="76"/>
      <c r="H56" s="80"/>
      <c r="I56" s="82"/>
      <c r="J56" s="82"/>
      <c r="K56" s="82"/>
      <c r="L56" s="82"/>
    </row>
    <row r="57" spans="1:12" s="12" customFormat="1" ht="18" x14ac:dyDescent="0.25">
      <c r="A57" s="1" t="s">
        <v>18</v>
      </c>
      <c r="B57" s="7"/>
      <c r="C57" s="7"/>
      <c r="D57" s="76"/>
      <c r="E57" s="76"/>
      <c r="F57" s="76"/>
      <c r="G57" s="76"/>
      <c r="H57" s="80"/>
      <c r="I57" s="82"/>
      <c r="J57" s="82"/>
      <c r="K57" s="82"/>
      <c r="L57" s="82"/>
    </row>
    <row r="58" spans="1:12" s="12" customFormat="1" ht="31.5" x14ac:dyDescent="0.25">
      <c r="A58" s="13" t="s">
        <v>29</v>
      </c>
      <c r="B58" s="6" t="s">
        <v>30</v>
      </c>
      <c r="C58" s="11"/>
      <c r="D58" s="76"/>
      <c r="E58" s="76"/>
      <c r="F58" s="76"/>
      <c r="G58" s="76"/>
      <c r="H58" s="80"/>
      <c r="I58" s="82"/>
      <c r="J58" s="82"/>
      <c r="K58" s="82"/>
      <c r="L58" s="82"/>
    </row>
    <row r="59" spans="1:12" s="12" customFormat="1" ht="18" x14ac:dyDescent="0.25">
      <c r="A59" s="13" t="s">
        <v>66</v>
      </c>
      <c r="B59" s="6" t="s">
        <v>24</v>
      </c>
      <c r="C59" s="11"/>
      <c r="D59" s="76"/>
      <c r="E59" s="76"/>
      <c r="F59" s="76"/>
      <c r="G59" s="76"/>
      <c r="H59" s="80"/>
      <c r="I59" s="82"/>
      <c r="J59" s="82"/>
      <c r="K59" s="82"/>
      <c r="L59" s="82"/>
    </row>
    <row r="60" spans="1:12" s="12" customFormat="1" ht="18" x14ac:dyDescent="0.25">
      <c r="A60" s="13" t="s">
        <v>67</v>
      </c>
      <c r="B60" s="6" t="s">
        <v>55</v>
      </c>
      <c r="C60" s="11"/>
      <c r="D60" s="76"/>
      <c r="E60" s="76"/>
      <c r="F60" s="76"/>
      <c r="G60" s="76"/>
      <c r="H60" s="80"/>
      <c r="I60" s="82"/>
      <c r="J60" s="82"/>
      <c r="K60" s="82"/>
      <c r="L60" s="82"/>
    </row>
    <row r="61" spans="1:12" s="12" customFormat="1" ht="18" x14ac:dyDescent="0.25">
      <c r="A61" s="13" t="s">
        <v>89</v>
      </c>
      <c r="B61" s="6" t="s">
        <v>90</v>
      </c>
      <c r="C61" s="11"/>
      <c r="D61" s="76"/>
      <c r="E61" s="76"/>
      <c r="F61" s="76"/>
      <c r="G61" s="76"/>
      <c r="H61" s="80"/>
      <c r="I61" s="82"/>
      <c r="J61" s="82"/>
      <c r="K61" s="82"/>
      <c r="L61" s="82"/>
    </row>
    <row r="62" spans="1:12" s="12" customFormat="1" ht="18" x14ac:dyDescent="0.25">
      <c r="A62" s="13" t="s">
        <v>125</v>
      </c>
      <c r="B62" s="6" t="s">
        <v>126</v>
      </c>
      <c r="C62" s="11"/>
      <c r="D62" s="76"/>
      <c r="E62" s="76"/>
      <c r="F62" s="76"/>
      <c r="G62" s="76"/>
      <c r="H62" s="80"/>
      <c r="I62" s="82"/>
      <c r="J62" s="82"/>
      <c r="K62" s="82"/>
      <c r="L62" s="82"/>
    </row>
    <row r="63" spans="1:12" s="12" customFormat="1" ht="18" x14ac:dyDescent="0.25">
      <c r="A63" s="13" t="s">
        <v>127</v>
      </c>
      <c r="B63" s="6" t="s">
        <v>128</v>
      </c>
      <c r="C63" s="11"/>
      <c r="D63" s="76"/>
      <c r="E63" s="76"/>
      <c r="F63" s="76"/>
      <c r="G63" s="76"/>
      <c r="H63" s="80"/>
      <c r="I63" s="82"/>
      <c r="J63" s="82"/>
      <c r="K63" s="82"/>
      <c r="L63" s="82"/>
    </row>
    <row r="64" spans="1:12" s="12" customFormat="1" ht="18" x14ac:dyDescent="0.25">
      <c r="A64" s="13" t="s">
        <v>129</v>
      </c>
      <c r="B64" s="6" t="s">
        <v>130</v>
      </c>
      <c r="C64" s="11"/>
      <c r="D64" s="76"/>
      <c r="E64" s="76"/>
      <c r="F64" s="76"/>
      <c r="G64" s="76"/>
      <c r="H64" s="80"/>
      <c r="I64" s="82"/>
      <c r="J64" s="82"/>
      <c r="K64" s="82"/>
      <c r="L64" s="82"/>
    </row>
    <row r="65" spans="1:12" s="12" customFormat="1" ht="18" x14ac:dyDescent="0.25">
      <c r="A65" s="6" t="s">
        <v>138</v>
      </c>
      <c r="B65" s="6" t="s">
        <v>139</v>
      </c>
      <c r="C65" s="17">
        <v>42349</v>
      </c>
      <c r="D65" s="76"/>
      <c r="E65" s="76"/>
      <c r="F65" s="76"/>
      <c r="G65" s="76"/>
      <c r="H65" s="80"/>
      <c r="I65" s="82"/>
      <c r="J65" s="82"/>
      <c r="K65" s="82"/>
      <c r="L65" s="82"/>
    </row>
    <row r="66" spans="1:12" s="12" customFormat="1" ht="18" x14ac:dyDescent="0.25">
      <c r="A66" s="6" t="s">
        <v>140</v>
      </c>
      <c r="B66" s="6" t="s">
        <v>141</v>
      </c>
      <c r="C66" s="11"/>
      <c r="D66" s="76"/>
      <c r="E66" s="76"/>
      <c r="F66" s="76"/>
      <c r="G66" s="76"/>
      <c r="H66" s="80"/>
      <c r="I66" s="82"/>
      <c r="J66" s="82"/>
      <c r="K66" s="82"/>
      <c r="L66" s="82"/>
    </row>
    <row r="67" spans="1:12" s="12" customFormat="1" ht="18" x14ac:dyDescent="0.25">
      <c r="A67" s="6" t="s">
        <v>151</v>
      </c>
      <c r="B67" s="6" t="s">
        <v>152</v>
      </c>
      <c r="C67" s="17">
        <v>42341</v>
      </c>
      <c r="D67" s="76"/>
      <c r="E67" s="76"/>
      <c r="F67" s="76"/>
      <c r="G67" s="76"/>
      <c r="H67" s="80"/>
      <c r="I67" s="82"/>
      <c r="J67" s="82"/>
      <c r="K67" s="82"/>
      <c r="L67" s="82"/>
    </row>
    <row r="68" spans="1:12" s="12" customFormat="1" ht="18" x14ac:dyDescent="0.25">
      <c r="A68" s="6" t="s">
        <v>157</v>
      </c>
      <c r="B68" s="6" t="s">
        <v>158</v>
      </c>
      <c r="C68" s="17">
        <v>42341</v>
      </c>
      <c r="D68" s="76"/>
      <c r="E68" s="76"/>
      <c r="F68" s="76"/>
      <c r="G68" s="76"/>
      <c r="H68" s="80"/>
      <c r="I68" s="82"/>
      <c r="J68" s="82"/>
      <c r="K68" s="82"/>
      <c r="L68" s="82"/>
    </row>
    <row r="69" spans="1:12" s="12" customFormat="1" ht="18" x14ac:dyDescent="0.25">
      <c r="A69" s="6" t="s">
        <v>159</v>
      </c>
      <c r="B69" s="6" t="s">
        <v>160</v>
      </c>
      <c r="C69" s="17">
        <v>42346</v>
      </c>
      <c r="D69" s="76"/>
      <c r="E69" s="76"/>
      <c r="F69" s="76"/>
      <c r="G69" s="76"/>
      <c r="H69" s="80"/>
      <c r="I69" s="82"/>
      <c r="J69" s="82"/>
      <c r="K69" s="82"/>
      <c r="L69" s="82"/>
    </row>
    <row r="70" spans="1:12" s="12" customFormat="1" ht="18" x14ac:dyDescent="0.25">
      <c r="A70" s="6" t="s">
        <v>168</v>
      </c>
      <c r="B70" s="6" t="s">
        <v>169</v>
      </c>
      <c r="C70" s="17">
        <v>42350</v>
      </c>
      <c r="D70" s="76"/>
      <c r="E70" s="76"/>
      <c r="F70" s="76"/>
      <c r="G70" s="76"/>
      <c r="H70" s="80"/>
      <c r="I70" s="82"/>
      <c r="J70" s="82"/>
      <c r="K70" s="82"/>
      <c r="L70" s="82"/>
    </row>
    <row r="71" spans="1:12" s="12" customFormat="1" ht="18" x14ac:dyDescent="0.25">
      <c r="A71" s="6"/>
      <c r="B71" s="6"/>
      <c r="C71" s="11"/>
      <c r="D71" s="76"/>
      <c r="E71" s="76"/>
      <c r="F71" s="76"/>
      <c r="G71" s="76"/>
      <c r="H71" s="80"/>
      <c r="I71" s="82"/>
      <c r="J71" s="82"/>
      <c r="K71" s="82"/>
      <c r="L71" s="82"/>
    </row>
    <row r="72" spans="1:12" s="12" customFormat="1" ht="18" x14ac:dyDescent="0.25">
      <c r="A72" s="1" t="s">
        <v>19</v>
      </c>
      <c r="B72" s="11"/>
      <c r="C72" s="11"/>
      <c r="D72" s="76"/>
      <c r="E72" s="76"/>
      <c r="F72" s="76"/>
      <c r="G72" s="76"/>
      <c r="H72" s="80"/>
      <c r="I72" s="82"/>
      <c r="J72" s="82"/>
      <c r="K72" s="82"/>
      <c r="L72" s="82"/>
    </row>
    <row r="73" spans="1:12" s="84" customFormat="1" ht="18" x14ac:dyDescent="0.25">
      <c r="A73" s="77" t="s">
        <v>46</v>
      </c>
      <c r="B73" s="78" t="s">
        <v>47</v>
      </c>
      <c r="C73" s="79"/>
      <c r="D73" s="83">
        <v>5</v>
      </c>
      <c r="E73" s="83">
        <v>3</v>
      </c>
      <c r="F73" s="83">
        <v>4</v>
      </c>
      <c r="G73" s="83">
        <v>4</v>
      </c>
      <c r="H73" s="80"/>
      <c r="I73" s="82">
        <f t="shared" ref="I73:I78" si="6">STANDARDIZE(D73,$I$1,$K$1)</f>
        <v>1.2251524213078602</v>
      </c>
      <c r="J73" s="82">
        <f t="shared" ref="J73:J78" si="7">STANDARDIZE(E73,$I$1,$K$1)</f>
        <v>-0.57291300276986268</v>
      </c>
      <c r="K73" s="82">
        <f t="shared" ref="K73:K78" si="8">STANDARDIZE(F73,$I$1,$K$1)</f>
        <v>0.3261197092689988</v>
      </c>
      <c r="L73" s="82">
        <f t="shared" ref="L73:L78" si="9">STANDARDIZE(G73,$I$1,$K$1)</f>
        <v>0.3261197092689988</v>
      </c>
    </row>
    <row r="74" spans="1:12" s="84" customFormat="1" ht="18" x14ac:dyDescent="0.25">
      <c r="A74" s="78" t="s">
        <v>142</v>
      </c>
      <c r="B74" s="78" t="s">
        <v>143</v>
      </c>
      <c r="C74" s="85">
        <v>42342</v>
      </c>
      <c r="D74" s="80">
        <v>3</v>
      </c>
      <c r="E74" s="80">
        <v>3</v>
      </c>
      <c r="F74" s="80">
        <v>4</v>
      </c>
      <c r="G74" s="80">
        <v>4</v>
      </c>
      <c r="H74" s="80"/>
      <c r="I74" s="82">
        <f t="shared" si="6"/>
        <v>-0.57291300276986268</v>
      </c>
      <c r="J74" s="82">
        <f t="shared" si="7"/>
        <v>-0.57291300276986268</v>
      </c>
      <c r="K74" s="82">
        <f t="shared" si="8"/>
        <v>0.3261197092689988</v>
      </c>
      <c r="L74" s="82">
        <f t="shared" si="9"/>
        <v>0.3261197092689988</v>
      </c>
    </row>
    <row r="75" spans="1:12" s="84" customFormat="1" ht="18" x14ac:dyDescent="0.25">
      <c r="A75" s="78" t="s">
        <v>144</v>
      </c>
      <c r="B75" s="78" t="s">
        <v>55</v>
      </c>
      <c r="C75" s="85">
        <v>42344</v>
      </c>
      <c r="D75" s="80">
        <v>4</v>
      </c>
      <c r="E75" s="80">
        <v>3</v>
      </c>
      <c r="F75" s="80">
        <v>4</v>
      </c>
      <c r="G75" s="80">
        <v>3</v>
      </c>
      <c r="H75" s="80"/>
      <c r="I75" s="82">
        <f t="shared" si="6"/>
        <v>0.3261197092689988</v>
      </c>
      <c r="J75" s="82">
        <f t="shared" si="7"/>
        <v>-0.57291300276986268</v>
      </c>
      <c r="K75" s="82">
        <f t="shared" si="8"/>
        <v>0.3261197092689988</v>
      </c>
      <c r="L75" s="82">
        <f t="shared" si="9"/>
        <v>-0.57291300276986268</v>
      </c>
    </row>
    <row r="76" spans="1:12" s="84" customFormat="1" ht="18" x14ac:dyDescent="0.25">
      <c r="A76" s="78" t="s">
        <v>147</v>
      </c>
      <c r="B76" s="78" t="s">
        <v>148</v>
      </c>
      <c r="C76" s="85">
        <v>42347</v>
      </c>
      <c r="D76" s="80">
        <v>3</v>
      </c>
      <c r="E76" s="80">
        <v>3</v>
      </c>
      <c r="F76" s="80">
        <v>3</v>
      </c>
      <c r="G76" s="80">
        <v>3</v>
      </c>
      <c r="H76" s="80"/>
      <c r="I76" s="82">
        <f t="shared" si="6"/>
        <v>-0.57291300276986268</v>
      </c>
      <c r="J76" s="82">
        <f t="shared" si="7"/>
        <v>-0.57291300276986268</v>
      </c>
      <c r="K76" s="82">
        <f t="shared" si="8"/>
        <v>-0.57291300276986268</v>
      </c>
      <c r="L76" s="82">
        <f t="shared" si="9"/>
        <v>-0.57291300276986268</v>
      </c>
    </row>
    <row r="77" spans="1:12" s="84" customFormat="1" ht="18" x14ac:dyDescent="0.25">
      <c r="A77" s="78" t="s">
        <v>149</v>
      </c>
      <c r="B77" s="78" t="s">
        <v>150</v>
      </c>
      <c r="C77" s="85">
        <v>42346</v>
      </c>
      <c r="D77" s="80">
        <v>3</v>
      </c>
      <c r="E77" s="80">
        <v>4</v>
      </c>
      <c r="F77" s="80">
        <v>3</v>
      </c>
      <c r="G77" s="80">
        <v>3</v>
      </c>
      <c r="H77" s="80"/>
      <c r="I77" s="82">
        <f t="shared" si="6"/>
        <v>-0.57291300276986268</v>
      </c>
      <c r="J77" s="82">
        <f t="shared" si="7"/>
        <v>0.3261197092689988</v>
      </c>
      <c r="K77" s="82">
        <f t="shared" si="8"/>
        <v>-0.57291300276986268</v>
      </c>
      <c r="L77" s="82">
        <f t="shared" si="9"/>
        <v>-0.57291300276986268</v>
      </c>
    </row>
    <row r="78" spans="1:12" s="84" customFormat="1" ht="18" x14ac:dyDescent="0.25">
      <c r="A78" s="78" t="s">
        <v>155</v>
      </c>
      <c r="B78" s="78" t="s">
        <v>156</v>
      </c>
      <c r="C78" s="85">
        <v>42348</v>
      </c>
      <c r="D78" s="80">
        <v>5</v>
      </c>
      <c r="E78" s="80">
        <v>5</v>
      </c>
      <c r="F78" s="80">
        <v>4</v>
      </c>
      <c r="G78" s="80">
        <v>4</v>
      </c>
      <c r="H78" s="80"/>
      <c r="I78" s="82">
        <f t="shared" si="6"/>
        <v>1.2251524213078602</v>
      </c>
      <c r="J78" s="82">
        <f t="shared" si="7"/>
        <v>1.2251524213078602</v>
      </c>
      <c r="K78" s="82">
        <f t="shared" si="8"/>
        <v>0.3261197092689988</v>
      </c>
      <c r="L78" s="82">
        <f t="shared" si="9"/>
        <v>0.3261197092689988</v>
      </c>
    </row>
    <row r="79" spans="1:12" s="12" customFormat="1" ht="18" x14ac:dyDescent="0.25">
      <c r="A79" s="11"/>
      <c r="B79" s="11"/>
      <c r="C79" s="11"/>
      <c r="D79" s="76"/>
      <c r="E79" s="76"/>
      <c r="F79" s="76"/>
      <c r="G79" s="76"/>
      <c r="H79" s="80"/>
      <c r="I79" s="76"/>
    </row>
    <row r="80" spans="1:12" s="12" customFormat="1" ht="18" x14ac:dyDescent="0.25">
      <c r="A80" s="1" t="s">
        <v>20</v>
      </c>
      <c r="B80" s="11"/>
      <c r="C80" s="11"/>
      <c r="D80" s="76"/>
      <c r="E80" s="76"/>
      <c r="F80" s="76"/>
      <c r="G80" s="76"/>
      <c r="H80" s="80"/>
      <c r="I80" s="76"/>
    </row>
    <row r="81" spans="1:9" s="12" customFormat="1" ht="18" x14ac:dyDescent="0.25">
      <c r="A81" s="13" t="s">
        <v>34</v>
      </c>
      <c r="B81" s="6" t="s">
        <v>35</v>
      </c>
      <c r="C81" s="11"/>
      <c r="D81" s="76"/>
      <c r="E81" s="76"/>
      <c r="F81" s="76"/>
      <c r="G81" s="76"/>
      <c r="H81" s="80"/>
      <c r="I81" s="76"/>
    </row>
    <row r="82" spans="1:9" s="12" customFormat="1" ht="18" x14ac:dyDescent="0.25">
      <c r="A82" s="13" t="s">
        <v>52</v>
      </c>
      <c r="B82" s="6" t="s">
        <v>53</v>
      </c>
      <c r="C82" s="11"/>
      <c r="D82" s="76"/>
      <c r="E82" s="76"/>
      <c r="F82" s="76"/>
      <c r="G82" s="76"/>
      <c r="H82" s="80"/>
      <c r="I82" s="76"/>
    </row>
    <row r="83" spans="1:9" s="12" customFormat="1" ht="18" x14ac:dyDescent="0.25">
      <c r="A83" s="13" t="s">
        <v>58</v>
      </c>
      <c r="B83" s="6" t="s">
        <v>59</v>
      </c>
      <c r="C83" s="11"/>
      <c r="D83" s="76"/>
      <c r="E83" s="76"/>
      <c r="F83" s="76"/>
      <c r="G83" s="76"/>
      <c r="H83" s="80"/>
      <c r="I83" s="76"/>
    </row>
    <row r="84" spans="1:9" s="12" customFormat="1" ht="18" x14ac:dyDescent="0.25">
      <c r="A84" s="13" t="s">
        <v>62</v>
      </c>
      <c r="B84" s="6" t="s">
        <v>63</v>
      </c>
      <c r="C84" s="11"/>
      <c r="D84" s="76"/>
      <c r="E84" s="76"/>
      <c r="F84" s="76"/>
      <c r="G84" s="76"/>
      <c r="H84" s="80"/>
      <c r="I84" s="76"/>
    </row>
    <row r="85" spans="1:9" s="12" customFormat="1" ht="18" x14ac:dyDescent="0.25">
      <c r="A85" s="13" t="s">
        <v>68</v>
      </c>
      <c r="B85" s="6" t="s">
        <v>69</v>
      </c>
      <c r="C85" s="11"/>
      <c r="D85" s="76"/>
      <c r="E85" s="76"/>
      <c r="F85" s="76"/>
      <c r="G85" s="76"/>
      <c r="H85" s="80"/>
      <c r="I85" s="76"/>
    </row>
    <row r="86" spans="1:9" s="12" customFormat="1" ht="18" x14ac:dyDescent="0.25">
      <c r="A86" s="13" t="s">
        <v>72</v>
      </c>
      <c r="B86" s="6" t="s">
        <v>73</v>
      </c>
      <c r="C86" s="11"/>
      <c r="D86" s="76"/>
      <c r="E86" s="76"/>
      <c r="F86" s="76"/>
      <c r="G86" s="76"/>
      <c r="H86" s="80"/>
      <c r="I86" s="76"/>
    </row>
    <row r="87" spans="1:9" s="12" customFormat="1" ht="18" x14ac:dyDescent="0.25">
      <c r="A87" s="13" t="s">
        <v>74</v>
      </c>
      <c r="B87" s="6" t="s">
        <v>75</v>
      </c>
      <c r="C87" s="11"/>
      <c r="D87" s="76"/>
      <c r="E87" s="76"/>
      <c r="F87" s="76"/>
      <c r="G87" s="76"/>
      <c r="H87" s="80"/>
      <c r="I87" s="76"/>
    </row>
    <row r="88" spans="1:9" s="12" customFormat="1" ht="18" x14ac:dyDescent="0.25">
      <c r="A88" s="13" t="s">
        <v>83</v>
      </c>
      <c r="B88" s="6" t="s">
        <v>84</v>
      </c>
      <c r="C88" s="11"/>
      <c r="D88" s="76"/>
      <c r="E88" s="76"/>
      <c r="F88" s="76"/>
      <c r="G88" s="76"/>
      <c r="H88" s="80"/>
      <c r="I88" s="76"/>
    </row>
    <row r="89" spans="1:9" s="12" customFormat="1" ht="18" x14ac:dyDescent="0.25">
      <c r="A89" s="13" t="s">
        <v>87</v>
      </c>
      <c r="B89" s="6" t="s">
        <v>88</v>
      </c>
      <c r="C89" s="11"/>
      <c r="D89" s="76"/>
      <c r="E89" s="76"/>
      <c r="F89" s="76"/>
      <c r="G89" s="76"/>
      <c r="H89" s="80"/>
      <c r="I89" s="76"/>
    </row>
    <row r="90" spans="1:9" s="12" customFormat="1" ht="18" x14ac:dyDescent="0.25">
      <c r="A90" s="13" t="s">
        <v>93</v>
      </c>
      <c r="B90" s="6" t="s">
        <v>94</v>
      </c>
      <c r="C90" s="11"/>
      <c r="D90" s="76"/>
      <c r="E90" s="76"/>
      <c r="F90" s="76"/>
      <c r="G90" s="76"/>
      <c r="H90" s="80"/>
      <c r="I90" s="76"/>
    </row>
    <row r="91" spans="1:9" s="12" customFormat="1" ht="18" x14ac:dyDescent="0.25">
      <c r="A91" s="13" t="s">
        <v>105</v>
      </c>
      <c r="B91" s="6" t="s">
        <v>106</v>
      </c>
      <c r="C91" s="11"/>
      <c r="D91" s="76"/>
      <c r="E91" s="76"/>
      <c r="F91" s="76"/>
      <c r="G91" s="76"/>
      <c r="H91" s="80"/>
      <c r="I91" s="76"/>
    </row>
    <row r="92" spans="1:9" s="12" customFormat="1" ht="18" x14ac:dyDescent="0.25">
      <c r="A92" s="6" t="s">
        <v>131</v>
      </c>
      <c r="B92" s="6" t="s">
        <v>57</v>
      </c>
      <c r="C92" s="11"/>
      <c r="D92" s="76"/>
      <c r="E92" s="76"/>
      <c r="F92" s="76"/>
      <c r="G92" s="76"/>
      <c r="H92" s="80"/>
      <c r="I92" s="76"/>
    </row>
    <row r="93" spans="1:9" s="12" customFormat="1" ht="18" x14ac:dyDescent="0.25">
      <c r="A93" s="6" t="s">
        <v>132</v>
      </c>
      <c r="B93" s="6" t="s">
        <v>133</v>
      </c>
      <c r="C93" s="11"/>
      <c r="D93" s="76"/>
      <c r="E93" s="76"/>
      <c r="F93" s="76"/>
      <c r="G93" s="76"/>
      <c r="H93" s="80"/>
      <c r="I93" s="76"/>
    </row>
    <row r="94" spans="1:9" s="12" customFormat="1" ht="18" x14ac:dyDescent="0.25">
      <c r="D94" s="76"/>
      <c r="E94" s="76"/>
      <c r="F94" s="76"/>
      <c r="G94" s="76"/>
      <c r="H94" s="76"/>
      <c r="I94" s="76"/>
    </row>
    <row r="95" spans="1:9" x14ac:dyDescent="0.25">
      <c r="A95" s="8" t="s">
        <v>8</v>
      </c>
      <c r="B95" s="9"/>
      <c r="C95" s="15"/>
      <c r="D95" s="89"/>
      <c r="E95" s="90"/>
      <c r="F95" s="90"/>
      <c r="G95" s="90"/>
      <c r="H95" s="90"/>
      <c r="I95" s="91"/>
    </row>
    <row r="96" spans="1:9" x14ac:dyDescent="0.25">
      <c r="A96" s="5" t="s">
        <v>9</v>
      </c>
      <c r="C96" s="12"/>
      <c r="D96" s="89"/>
      <c r="E96" s="90"/>
      <c r="F96" s="90"/>
      <c r="G96" s="90"/>
      <c r="H96" s="90"/>
      <c r="I96" s="91"/>
    </row>
    <row r="97" spans="1:9" x14ac:dyDescent="0.25">
      <c r="A97" s="5" t="s">
        <v>10</v>
      </c>
      <c r="C97" s="12"/>
      <c r="D97" s="92"/>
      <c r="E97" s="93"/>
      <c r="F97" s="93"/>
      <c r="G97" s="93"/>
      <c r="H97" s="93"/>
      <c r="I97" s="94"/>
    </row>
    <row r="98" spans="1:9" x14ac:dyDescent="0.25">
      <c r="A98" s="5" t="s">
        <v>11</v>
      </c>
      <c r="C98" s="12"/>
    </row>
    <row r="99" spans="1:9" x14ac:dyDescent="0.25">
      <c r="A99" s="5" t="s">
        <v>12</v>
      </c>
      <c r="C99" s="12"/>
    </row>
    <row r="100" spans="1:9" x14ac:dyDescent="0.25">
      <c r="A100" s="5" t="s">
        <v>13</v>
      </c>
      <c r="C100" s="12"/>
    </row>
    <row r="101" spans="1:9" x14ac:dyDescent="0.25">
      <c r="C101" s="12"/>
    </row>
    <row r="102" spans="1:9" x14ac:dyDescent="0.25">
      <c r="C102" s="12"/>
    </row>
    <row r="103" spans="1:9" x14ac:dyDescent="0.25">
      <c r="C103" s="12"/>
    </row>
    <row r="104" spans="1:9" x14ac:dyDescent="0.25">
      <c r="C104" s="12"/>
    </row>
    <row r="105" spans="1:9" x14ac:dyDescent="0.25">
      <c r="C105" s="12"/>
    </row>
    <row r="106" spans="1:9" x14ac:dyDescent="0.25">
      <c r="C106" s="12"/>
    </row>
    <row r="107" spans="1:9" x14ac:dyDescent="0.25">
      <c r="C107" s="12"/>
    </row>
    <row r="108" spans="1:9" x14ac:dyDescent="0.25">
      <c r="C108" s="12"/>
    </row>
    <row r="109" spans="1:9" x14ac:dyDescent="0.25">
      <c r="C109" s="12"/>
    </row>
    <row r="110" spans="1:9" x14ac:dyDescent="0.25">
      <c r="C110" s="12"/>
    </row>
    <row r="111" spans="1:9" x14ac:dyDescent="0.25">
      <c r="C111" s="12"/>
    </row>
    <row r="112" spans="1:9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12">
    <mergeCell ref="B1:G1"/>
    <mergeCell ref="D2:G2"/>
    <mergeCell ref="I2:L2"/>
    <mergeCell ref="I7:I8"/>
    <mergeCell ref="J7:J8"/>
    <mergeCell ref="K7:K8"/>
    <mergeCell ref="L7:L8"/>
    <mergeCell ref="C7:C8"/>
    <mergeCell ref="D7:D8"/>
    <mergeCell ref="E7:E8"/>
    <mergeCell ref="F7:F8"/>
    <mergeCell ref="G7:G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B4" workbookViewId="0">
      <selection activeCell="L7" sqref="L7:L8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  <col min="257" max="257" width="81.875" customWidth="1"/>
    <col min="258" max="260" width="23" customWidth="1"/>
    <col min="261" max="261" width="24.125" bestFit="1" customWidth="1"/>
    <col min="262" max="262" width="25.125" bestFit="1" customWidth="1"/>
    <col min="263" max="263" width="20.875" customWidth="1"/>
    <col min="513" max="513" width="81.875" customWidth="1"/>
    <col min="514" max="516" width="23" customWidth="1"/>
    <col min="517" max="517" width="24.125" bestFit="1" customWidth="1"/>
    <col min="518" max="518" width="25.125" bestFit="1" customWidth="1"/>
    <col min="519" max="519" width="20.875" customWidth="1"/>
    <col min="769" max="769" width="81.875" customWidth="1"/>
    <col min="770" max="772" width="23" customWidth="1"/>
    <col min="773" max="773" width="24.125" bestFit="1" customWidth="1"/>
    <col min="774" max="774" width="25.125" bestFit="1" customWidth="1"/>
    <col min="775" max="775" width="20.875" customWidth="1"/>
    <col min="1025" max="1025" width="81.875" customWidth="1"/>
    <col min="1026" max="1028" width="23" customWidth="1"/>
    <col min="1029" max="1029" width="24.125" bestFit="1" customWidth="1"/>
    <col min="1030" max="1030" width="25.125" bestFit="1" customWidth="1"/>
    <col min="1031" max="1031" width="20.875" customWidth="1"/>
    <col min="1281" max="1281" width="81.875" customWidth="1"/>
    <col min="1282" max="1284" width="23" customWidth="1"/>
    <col min="1285" max="1285" width="24.125" bestFit="1" customWidth="1"/>
    <col min="1286" max="1286" width="25.125" bestFit="1" customWidth="1"/>
    <col min="1287" max="1287" width="20.875" customWidth="1"/>
    <col min="1537" max="1537" width="81.875" customWidth="1"/>
    <col min="1538" max="1540" width="23" customWidth="1"/>
    <col min="1541" max="1541" width="24.125" bestFit="1" customWidth="1"/>
    <col min="1542" max="1542" width="25.125" bestFit="1" customWidth="1"/>
    <col min="1543" max="1543" width="20.875" customWidth="1"/>
    <col min="1793" max="1793" width="81.875" customWidth="1"/>
    <col min="1794" max="1796" width="23" customWidth="1"/>
    <col min="1797" max="1797" width="24.125" bestFit="1" customWidth="1"/>
    <col min="1798" max="1798" width="25.125" bestFit="1" customWidth="1"/>
    <col min="1799" max="1799" width="20.875" customWidth="1"/>
    <col min="2049" max="2049" width="81.875" customWidth="1"/>
    <col min="2050" max="2052" width="23" customWidth="1"/>
    <col min="2053" max="2053" width="24.125" bestFit="1" customWidth="1"/>
    <col min="2054" max="2054" width="25.125" bestFit="1" customWidth="1"/>
    <col min="2055" max="2055" width="20.875" customWidth="1"/>
    <col min="2305" max="2305" width="81.875" customWidth="1"/>
    <col min="2306" max="2308" width="23" customWidth="1"/>
    <col min="2309" max="2309" width="24.125" bestFit="1" customWidth="1"/>
    <col min="2310" max="2310" width="25.125" bestFit="1" customWidth="1"/>
    <col min="2311" max="2311" width="20.875" customWidth="1"/>
    <col min="2561" max="2561" width="81.875" customWidth="1"/>
    <col min="2562" max="2564" width="23" customWidth="1"/>
    <col min="2565" max="2565" width="24.125" bestFit="1" customWidth="1"/>
    <col min="2566" max="2566" width="25.125" bestFit="1" customWidth="1"/>
    <col min="2567" max="2567" width="20.875" customWidth="1"/>
    <col min="2817" max="2817" width="81.875" customWidth="1"/>
    <col min="2818" max="2820" width="23" customWidth="1"/>
    <col min="2821" max="2821" width="24.125" bestFit="1" customWidth="1"/>
    <col min="2822" max="2822" width="25.125" bestFit="1" customWidth="1"/>
    <col min="2823" max="2823" width="20.875" customWidth="1"/>
    <col min="3073" max="3073" width="81.875" customWidth="1"/>
    <col min="3074" max="3076" width="23" customWidth="1"/>
    <col min="3077" max="3077" width="24.125" bestFit="1" customWidth="1"/>
    <col min="3078" max="3078" width="25.125" bestFit="1" customWidth="1"/>
    <col min="3079" max="3079" width="20.875" customWidth="1"/>
    <col min="3329" max="3329" width="81.875" customWidth="1"/>
    <col min="3330" max="3332" width="23" customWidth="1"/>
    <col min="3333" max="3333" width="24.125" bestFit="1" customWidth="1"/>
    <col min="3334" max="3334" width="25.125" bestFit="1" customWidth="1"/>
    <col min="3335" max="3335" width="20.875" customWidth="1"/>
    <col min="3585" max="3585" width="81.875" customWidth="1"/>
    <col min="3586" max="3588" width="23" customWidth="1"/>
    <col min="3589" max="3589" width="24.125" bestFit="1" customWidth="1"/>
    <col min="3590" max="3590" width="25.125" bestFit="1" customWidth="1"/>
    <col min="3591" max="3591" width="20.875" customWidth="1"/>
    <col min="3841" max="3841" width="81.875" customWidth="1"/>
    <col min="3842" max="3844" width="23" customWidth="1"/>
    <col min="3845" max="3845" width="24.125" bestFit="1" customWidth="1"/>
    <col min="3846" max="3846" width="25.125" bestFit="1" customWidth="1"/>
    <col min="3847" max="3847" width="20.875" customWidth="1"/>
    <col min="4097" max="4097" width="81.875" customWidth="1"/>
    <col min="4098" max="4100" width="23" customWidth="1"/>
    <col min="4101" max="4101" width="24.125" bestFit="1" customWidth="1"/>
    <col min="4102" max="4102" width="25.125" bestFit="1" customWidth="1"/>
    <col min="4103" max="4103" width="20.875" customWidth="1"/>
    <col min="4353" max="4353" width="81.875" customWidth="1"/>
    <col min="4354" max="4356" width="23" customWidth="1"/>
    <col min="4357" max="4357" width="24.125" bestFit="1" customWidth="1"/>
    <col min="4358" max="4358" width="25.125" bestFit="1" customWidth="1"/>
    <col min="4359" max="4359" width="20.875" customWidth="1"/>
    <col min="4609" max="4609" width="81.875" customWidth="1"/>
    <col min="4610" max="4612" width="23" customWidth="1"/>
    <col min="4613" max="4613" width="24.125" bestFit="1" customWidth="1"/>
    <col min="4614" max="4614" width="25.125" bestFit="1" customWidth="1"/>
    <col min="4615" max="4615" width="20.875" customWidth="1"/>
    <col min="4865" max="4865" width="81.875" customWidth="1"/>
    <col min="4866" max="4868" width="23" customWidth="1"/>
    <col min="4869" max="4869" width="24.125" bestFit="1" customWidth="1"/>
    <col min="4870" max="4870" width="25.125" bestFit="1" customWidth="1"/>
    <col min="4871" max="4871" width="20.875" customWidth="1"/>
    <col min="5121" max="5121" width="81.875" customWidth="1"/>
    <col min="5122" max="5124" width="23" customWidth="1"/>
    <col min="5125" max="5125" width="24.125" bestFit="1" customWidth="1"/>
    <col min="5126" max="5126" width="25.125" bestFit="1" customWidth="1"/>
    <col min="5127" max="5127" width="20.875" customWidth="1"/>
    <col min="5377" max="5377" width="81.875" customWidth="1"/>
    <col min="5378" max="5380" width="23" customWidth="1"/>
    <col min="5381" max="5381" width="24.125" bestFit="1" customWidth="1"/>
    <col min="5382" max="5382" width="25.125" bestFit="1" customWidth="1"/>
    <col min="5383" max="5383" width="20.875" customWidth="1"/>
    <col min="5633" max="5633" width="81.875" customWidth="1"/>
    <col min="5634" max="5636" width="23" customWidth="1"/>
    <col min="5637" max="5637" width="24.125" bestFit="1" customWidth="1"/>
    <col min="5638" max="5638" width="25.125" bestFit="1" customWidth="1"/>
    <col min="5639" max="5639" width="20.875" customWidth="1"/>
    <col min="5889" max="5889" width="81.875" customWidth="1"/>
    <col min="5890" max="5892" width="23" customWidth="1"/>
    <col min="5893" max="5893" width="24.125" bestFit="1" customWidth="1"/>
    <col min="5894" max="5894" width="25.125" bestFit="1" customWidth="1"/>
    <col min="5895" max="5895" width="20.875" customWidth="1"/>
    <col min="6145" max="6145" width="81.875" customWidth="1"/>
    <col min="6146" max="6148" width="23" customWidth="1"/>
    <col min="6149" max="6149" width="24.125" bestFit="1" customWidth="1"/>
    <col min="6150" max="6150" width="25.125" bestFit="1" customWidth="1"/>
    <col min="6151" max="6151" width="20.875" customWidth="1"/>
    <col min="6401" max="6401" width="81.875" customWidth="1"/>
    <col min="6402" max="6404" width="23" customWidth="1"/>
    <col min="6405" max="6405" width="24.125" bestFit="1" customWidth="1"/>
    <col min="6406" max="6406" width="25.125" bestFit="1" customWidth="1"/>
    <col min="6407" max="6407" width="20.875" customWidth="1"/>
    <col min="6657" max="6657" width="81.875" customWidth="1"/>
    <col min="6658" max="6660" width="23" customWidth="1"/>
    <col min="6661" max="6661" width="24.125" bestFit="1" customWidth="1"/>
    <col min="6662" max="6662" width="25.125" bestFit="1" customWidth="1"/>
    <col min="6663" max="6663" width="20.875" customWidth="1"/>
    <col min="6913" max="6913" width="81.875" customWidth="1"/>
    <col min="6914" max="6916" width="23" customWidth="1"/>
    <col min="6917" max="6917" width="24.125" bestFit="1" customWidth="1"/>
    <col min="6918" max="6918" width="25.125" bestFit="1" customWidth="1"/>
    <col min="6919" max="6919" width="20.875" customWidth="1"/>
    <col min="7169" max="7169" width="81.875" customWidth="1"/>
    <col min="7170" max="7172" width="23" customWidth="1"/>
    <col min="7173" max="7173" width="24.125" bestFit="1" customWidth="1"/>
    <col min="7174" max="7174" width="25.125" bestFit="1" customWidth="1"/>
    <col min="7175" max="7175" width="20.875" customWidth="1"/>
    <col min="7425" max="7425" width="81.875" customWidth="1"/>
    <col min="7426" max="7428" width="23" customWidth="1"/>
    <col min="7429" max="7429" width="24.125" bestFit="1" customWidth="1"/>
    <col min="7430" max="7430" width="25.125" bestFit="1" customWidth="1"/>
    <col min="7431" max="7431" width="20.875" customWidth="1"/>
    <col min="7681" max="7681" width="81.875" customWidth="1"/>
    <col min="7682" max="7684" width="23" customWidth="1"/>
    <col min="7685" max="7685" width="24.125" bestFit="1" customWidth="1"/>
    <col min="7686" max="7686" width="25.125" bestFit="1" customWidth="1"/>
    <col min="7687" max="7687" width="20.875" customWidth="1"/>
    <col min="7937" max="7937" width="81.875" customWidth="1"/>
    <col min="7938" max="7940" width="23" customWidth="1"/>
    <col min="7941" max="7941" width="24.125" bestFit="1" customWidth="1"/>
    <col min="7942" max="7942" width="25.125" bestFit="1" customWidth="1"/>
    <col min="7943" max="7943" width="20.875" customWidth="1"/>
    <col min="8193" max="8193" width="81.875" customWidth="1"/>
    <col min="8194" max="8196" width="23" customWidth="1"/>
    <col min="8197" max="8197" width="24.125" bestFit="1" customWidth="1"/>
    <col min="8198" max="8198" width="25.125" bestFit="1" customWidth="1"/>
    <col min="8199" max="8199" width="20.875" customWidth="1"/>
    <col min="8449" max="8449" width="81.875" customWidth="1"/>
    <col min="8450" max="8452" width="23" customWidth="1"/>
    <col min="8453" max="8453" width="24.125" bestFit="1" customWidth="1"/>
    <col min="8454" max="8454" width="25.125" bestFit="1" customWidth="1"/>
    <col min="8455" max="8455" width="20.875" customWidth="1"/>
    <col min="8705" max="8705" width="81.875" customWidth="1"/>
    <col min="8706" max="8708" width="23" customWidth="1"/>
    <col min="8709" max="8709" width="24.125" bestFit="1" customWidth="1"/>
    <col min="8710" max="8710" width="25.125" bestFit="1" customWidth="1"/>
    <col min="8711" max="8711" width="20.875" customWidth="1"/>
    <col min="8961" max="8961" width="81.875" customWidth="1"/>
    <col min="8962" max="8964" width="23" customWidth="1"/>
    <col min="8965" max="8965" width="24.125" bestFit="1" customWidth="1"/>
    <col min="8966" max="8966" width="25.125" bestFit="1" customWidth="1"/>
    <col min="8967" max="8967" width="20.875" customWidth="1"/>
    <col min="9217" max="9217" width="81.875" customWidth="1"/>
    <col min="9218" max="9220" width="23" customWidth="1"/>
    <col min="9221" max="9221" width="24.125" bestFit="1" customWidth="1"/>
    <col min="9222" max="9222" width="25.125" bestFit="1" customWidth="1"/>
    <col min="9223" max="9223" width="20.875" customWidth="1"/>
    <col min="9473" max="9473" width="81.875" customWidth="1"/>
    <col min="9474" max="9476" width="23" customWidth="1"/>
    <col min="9477" max="9477" width="24.125" bestFit="1" customWidth="1"/>
    <col min="9478" max="9478" width="25.125" bestFit="1" customWidth="1"/>
    <col min="9479" max="9479" width="20.875" customWidth="1"/>
    <col min="9729" max="9729" width="81.875" customWidth="1"/>
    <col min="9730" max="9732" width="23" customWidth="1"/>
    <col min="9733" max="9733" width="24.125" bestFit="1" customWidth="1"/>
    <col min="9734" max="9734" width="25.125" bestFit="1" customWidth="1"/>
    <col min="9735" max="9735" width="20.875" customWidth="1"/>
    <col min="9985" max="9985" width="81.875" customWidth="1"/>
    <col min="9986" max="9988" width="23" customWidth="1"/>
    <col min="9989" max="9989" width="24.125" bestFit="1" customWidth="1"/>
    <col min="9990" max="9990" width="25.125" bestFit="1" customWidth="1"/>
    <col min="9991" max="9991" width="20.875" customWidth="1"/>
    <col min="10241" max="10241" width="81.875" customWidth="1"/>
    <col min="10242" max="10244" width="23" customWidth="1"/>
    <col min="10245" max="10245" width="24.125" bestFit="1" customWidth="1"/>
    <col min="10246" max="10246" width="25.125" bestFit="1" customWidth="1"/>
    <col min="10247" max="10247" width="20.875" customWidth="1"/>
    <col min="10497" max="10497" width="81.875" customWidth="1"/>
    <col min="10498" max="10500" width="23" customWidth="1"/>
    <col min="10501" max="10501" width="24.125" bestFit="1" customWidth="1"/>
    <col min="10502" max="10502" width="25.125" bestFit="1" customWidth="1"/>
    <col min="10503" max="10503" width="20.875" customWidth="1"/>
    <col min="10753" max="10753" width="81.875" customWidth="1"/>
    <col min="10754" max="10756" width="23" customWidth="1"/>
    <col min="10757" max="10757" width="24.125" bestFit="1" customWidth="1"/>
    <col min="10758" max="10758" width="25.125" bestFit="1" customWidth="1"/>
    <col min="10759" max="10759" width="20.875" customWidth="1"/>
    <col min="11009" max="11009" width="81.875" customWidth="1"/>
    <col min="11010" max="11012" width="23" customWidth="1"/>
    <col min="11013" max="11013" width="24.125" bestFit="1" customWidth="1"/>
    <col min="11014" max="11014" width="25.125" bestFit="1" customWidth="1"/>
    <col min="11015" max="11015" width="20.875" customWidth="1"/>
    <col min="11265" max="11265" width="81.875" customWidth="1"/>
    <col min="11266" max="11268" width="23" customWidth="1"/>
    <col min="11269" max="11269" width="24.125" bestFit="1" customWidth="1"/>
    <col min="11270" max="11270" width="25.125" bestFit="1" customWidth="1"/>
    <col min="11271" max="11271" width="20.875" customWidth="1"/>
    <col min="11521" max="11521" width="81.875" customWidth="1"/>
    <col min="11522" max="11524" width="23" customWidth="1"/>
    <col min="11525" max="11525" width="24.125" bestFit="1" customWidth="1"/>
    <col min="11526" max="11526" width="25.125" bestFit="1" customWidth="1"/>
    <col min="11527" max="11527" width="20.875" customWidth="1"/>
    <col min="11777" max="11777" width="81.875" customWidth="1"/>
    <col min="11778" max="11780" width="23" customWidth="1"/>
    <col min="11781" max="11781" width="24.125" bestFit="1" customWidth="1"/>
    <col min="11782" max="11782" width="25.125" bestFit="1" customWidth="1"/>
    <col min="11783" max="11783" width="20.875" customWidth="1"/>
    <col min="12033" max="12033" width="81.875" customWidth="1"/>
    <col min="12034" max="12036" width="23" customWidth="1"/>
    <col min="12037" max="12037" width="24.125" bestFit="1" customWidth="1"/>
    <col min="12038" max="12038" width="25.125" bestFit="1" customWidth="1"/>
    <col min="12039" max="12039" width="20.875" customWidth="1"/>
    <col min="12289" max="12289" width="81.875" customWidth="1"/>
    <col min="12290" max="12292" width="23" customWidth="1"/>
    <col min="12293" max="12293" width="24.125" bestFit="1" customWidth="1"/>
    <col min="12294" max="12294" width="25.125" bestFit="1" customWidth="1"/>
    <col min="12295" max="12295" width="20.875" customWidth="1"/>
    <col min="12545" max="12545" width="81.875" customWidth="1"/>
    <col min="12546" max="12548" width="23" customWidth="1"/>
    <col min="12549" max="12549" width="24.125" bestFit="1" customWidth="1"/>
    <col min="12550" max="12550" width="25.125" bestFit="1" customWidth="1"/>
    <col min="12551" max="12551" width="20.875" customWidth="1"/>
    <col min="12801" max="12801" width="81.875" customWidth="1"/>
    <col min="12802" max="12804" width="23" customWidth="1"/>
    <col min="12805" max="12805" width="24.125" bestFit="1" customWidth="1"/>
    <col min="12806" max="12806" width="25.125" bestFit="1" customWidth="1"/>
    <col min="12807" max="12807" width="20.875" customWidth="1"/>
    <col min="13057" max="13057" width="81.875" customWidth="1"/>
    <col min="13058" max="13060" width="23" customWidth="1"/>
    <col min="13061" max="13061" width="24.125" bestFit="1" customWidth="1"/>
    <col min="13062" max="13062" width="25.125" bestFit="1" customWidth="1"/>
    <col min="13063" max="13063" width="20.875" customWidth="1"/>
    <col min="13313" max="13313" width="81.875" customWidth="1"/>
    <col min="13314" max="13316" width="23" customWidth="1"/>
    <col min="13317" max="13317" width="24.125" bestFit="1" customWidth="1"/>
    <col min="13318" max="13318" width="25.125" bestFit="1" customWidth="1"/>
    <col min="13319" max="13319" width="20.875" customWidth="1"/>
    <col min="13569" max="13569" width="81.875" customWidth="1"/>
    <col min="13570" max="13572" width="23" customWidth="1"/>
    <col min="13573" max="13573" width="24.125" bestFit="1" customWidth="1"/>
    <col min="13574" max="13574" width="25.125" bestFit="1" customWidth="1"/>
    <col min="13575" max="13575" width="20.875" customWidth="1"/>
    <col min="13825" max="13825" width="81.875" customWidth="1"/>
    <col min="13826" max="13828" width="23" customWidth="1"/>
    <col min="13829" max="13829" width="24.125" bestFit="1" customWidth="1"/>
    <col min="13830" max="13830" width="25.125" bestFit="1" customWidth="1"/>
    <col min="13831" max="13831" width="20.875" customWidth="1"/>
    <col min="14081" max="14081" width="81.875" customWidth="1"/>
    <col min="14082" max="14084" width="23" customWidth="1"/>
    <col min="14085" max="14085" width="24.125" bestFit="1" customWidth="1"/>
    <col min="14086" max="14086" width="25.125" bestFit="1" customWidth="1"/>
    <col min="14087" max="14087" width="20.875" customWidth="1"/>
    <col min="14337" max="14337" width="81.875" customWidth="1"/>
    <col min="14338" max="14340" width="23" customWidth="1"/>
    <col min="14341" max="14341" width="24.125" bestFit="1" customWidth="1"/>
    <col min="14342" max="14342" width="25.125" bestFit="1" customWidth="1"/>
    <col min="14343" max="14343" width="20.875" customWidth="1"/>
    <col min="14593" max="14593" width="81.875" customWidth="1"/>
    <col min="14594" max="14596" width="23" customWidth="1"/>
    <col min="14597" max="14597" width="24.125" bestFit="1" customWidth="1"/>
    <col min="14598" max="14598" width="25.125" bestFit="1" customWidth="1"/>
    <col min="14599" max="14599" width="20.875" customWidth="1"/>
    <col min="14849" max="14849" width="81.875" customWidth="1"/>
    <col min="14850" max="14852" width="23" customWidth="1"/>
    <col min="14853" max="14853" width="24.125" bestFit="1" customWidth="1"/>
    <col min="14854" max="14854" width="25.125" bestFit="1" customWidth="1"/>
    <col min="14855" max="14855" width="20.875" customWidth="1"/>
    <col min="15105" max="15105" width="81.875" customWidth="1"/>
    <col min="15106" max="15108" width="23" customWidth="1"/>
    <col min="15109" max="15109" width="24.125" bestFit="1" customWidth="1"/>
    <col min="15110" max="15110" width="25.125" bestFit="1" customWidth="1"/>
    <col min="15111" max="15111" width="20.875" customWidth="1"/>
    <col min="15361" max="15361" width="81.875" customWidth="1"/>
    <col min="15362" max="15364" width="23" customWidth="1"/>
    <col min="15365" max="15365" width="24.125" bestFit="1" customWidth="1"/>
    <col min="15366" max="15366" width="25.125" bestFit="1" customWidth="1"/>
    <col min="15367" max="15367" width="20.875" customWidth="1"/>
    <col min="15617" max="15617" width="81.875" customWidth="1"/>
    <col min="15618" max="15620" width="23" customWidth="1"/>
    <col min="15621" max="15621" width="24.125" bestFit="1" customWidth="1"/>
    <col min="15622" max="15622" width="25.125" bestFit="1" customWidth="1"/>
    <col min="15623" max="15623" width="20.875" customWidth="1"/>
    <col min="15873" max="15873" width="81.875" customWidth="1"/>
    <col min="15874" max="15876" width="23" customWidth="1"/>
    <col min="15877" max="15877" width="24.125" bestFit="1" customWidth="1"/>
    <col min="15878" max="15878" width="25.125" bestFit="1" customWidth="1"/>
    <col min="15879" max="15879" width="20.875" customWidth="1"/>
    <col min="16129" max="16129" width="81.875" customWidth="1"/>
    <col min="16130" max="16132" width="23" customWidth="1"/>
    <col min="16133" max="16133" width="24.125" bestFit="1" customWidth="1"/>
    <col min="16134" max="16134" width="25.125" bestFit="1" customWidth="1"/>
    <col min="16135" max="16135" width="20.875" customWidth="1"/>
  </cols>
  <sheetData>
    <row r="1" spans="1:12" x14ac:dyDescent="0.25">
      <c r="A1" s="1" t="s">
        <v>14</v>
      </c>
      <c r="B1" s="104"/>
      <c r="C1" s="104"/>
      <c r="D1" s="104"/>
      <c r="E1" s="104"/>
      <c r="F1" s="104"/>
      <c r="G1" s="104"/>
      <c r="H1" t="s">
        <v>215</v>
      </c>
      <c r="I1">
        <f>AVERAGE(D6:G94)</f>
        <v>4.8284313725490193</v>
      </c>
      <c r="J1" t="s">
        <v>216</v>
      </c>
      <c r="K1">
        <f>_xlfn.STDEV.S(D6:G94)</f>
        <v>3.2308512032791183</v>
      </c>
    </row>
    <row r="2" spans="1:12" x14ac:dyDescent="0.25">
      <c r="D2" s="102" t="s">
        <v>16</v>
      </c>
      <c r="E2" s="102"/>
      <c r="F2" s="102"/>
      <c r="G2" s="102"/>
      <c r="I2" s="103" t="s">
        <v>213</v>
      </c>
      <c r="J2" s="103"/>
      <c r="K2" s="103"/>
      <c r="L2" s="103"/>
    </row>
    <row r="3" spans="1:12" s="2" customFormat="1" ht="18.75" x14ac:dyDescent="0.3">
      <c r="A3" s="3" t="s">
        <v>3</v>
      </c>
      <c r="B3" s="3" t="s">
        <v>4</v>
      </c>
      <c r="C3" s="3" t="s">
        <v>17</v>
      </c>
      <c r="D3" s="10" t="s">
        <v>15</v>
      </c>
      <c r="E3" s="3" t="s">
        <v>7</v>
      </c>
      <c r="F3" s="3" t="s">
        <v>5</v>
      </c>
      <c r="G3" s="3" t="s">
        <v>6</v>
      </c>
      <c r="I3" s="3" t="str">
        <f>D3</f>
        <v>Актуальность темы</v>
      </c>
      <c r="J3" s="3" t="str">
        <f t="shared" ref="J3:L3" si="0">E3</f>
        <v>Научная состовляющая</v>
      </c>
      <c r="K3" s="3" t="str">
        <f t="shared" si="0"/>
        <v>Доступность изложения</v>
      </c>
      <c r="L3" s="3" t="str">
        <f t="shared" si="0"/>
        <v>Авторский стиль</v>
      </c>
    </row>
    <row r="4" spans="1:12" s="2" customFormat="1" ht="18.75" x14ac:dyDescent="0.3">
      <c r="A4" s="4"/>
      <c r="B4" s="4"/>
      <c r="C4" s="16"/>
      <c r="D4" s="4"/>
      <c r="E4" s="4"/>
      <c r="F4" s="4"/>
      <c r="G4" s="4"/>
    </row>
    <row r="5" spans="1:12" s="12" customFormat="1" x14ac:dyDescent="0.25">
      <c r="A5" s="1" t="s">
        <v>0</v>
      </c>
    </row>
    <row r="6" spans="1:12" s="12" customFormat="1" x14ac:dyDescent="0.25">
      <c r="A6" s="13" t="s">
        <v>21</v>
      </c>
      <c r="B6" s="6" t="s">
        <v>22</v>
      </c>
      <c r="C6" s="11"/>
      <c r="D6" s="12">
        <v>5</v>
      </c>
      <c r="E6" s="12">
        <v>5</v>
      </c>
      <c r="F6" s="12">
        <v>5</v>
      </c>
      <c r="G6" s="47">
        <v>5</v>
      </c>
      <c r="I6" s="12">
        <f>STANDARDIZE(D6,$I$1,$K$1)</f>
        <v>5.3103227804749693E-2</v>
      </c>
      <c r="J6" s="12">
        <f t="shared" ref="J6:L6" si="1">STANDARDIZE(E6,$I$1,$K$1)</f>
        <v>5.3103227804749693E-2</v>
      </c>
      <c r="K6" s="12">
        <f t="shared" si="1"/>
        <v>5.3103227804749693E-2</v>
      </c>
      <c r="L6" s="12">
        <f t="shared" si="1"/>
        <v>5.3103227804749693E-2</v>
      </c>
    </row>
    <row r="7" spans="1:12" s="12" customFormat="1" x14ac:dyDescent="0.25">
      <c r="A7" s="14" t="s">
        <v>31</v>
      </c>
      <c r="B7" s="6" t="s">
        <v>32</v>
      </c>
      <c r="C7" s="105"/>
      <c r="D7" s="100">
        <v>4</v>
      </c>
      <c r="E7" s="100">
        <v>3</v>
      </c>
      <c r="F7" s="100">
        <v>4</v>
      </c>
      <c r="G7" s="100">
        <v>4</v>
      </c>
      <c r="I7" s="100">
        <f t="shared" ref="I7:I55" si="2">STANDARDIZE(D7,$I$1,$K$1)</f>
        <v>-0.25641272854293373</v>
      </c>
      <c r="J7" s="100">
        <f t="shared" ref="J7:J55" si="3">STANDARDIZE(E7,$I$1,$K$1)</f>
        <v>-0.5659286848906171</v>
      </c>
      <c r="K7" s="100">
        <f t="shared" ref="K7:K55" si="4">STANDARDIZE(F7,$I$1,$K$1)</f>
        <v>-0.25641272854293373</v>
      </c>
      <c r="L7" s="100">
        <f t="shared" ref="L7:L55" si="5">STANDARDIZE(G7,$I$1,$K$1)</f>
        <v>-0.25641272854293373</v>
      </c>
    </row>
    <row r="8" spans="1:12" s="12" customFormat="1" x14ac:dyDescent="0.25">
      <c r="A8" s="13" t="s">
        <v>33</v>
      </c>
      <c r="B8" s="6" t="s">
        <v>32</v>
      </c>
      <c r="C8" s="105"/>
      <c r="D8" s="100"/>
      <c r="E8" s="100"/>
      <c r="F8" s="100"/>
      <c r="G8" s="100"/>
      <c r="I8" s="100"/>
      <c r="J8" s="100"/>
      <c r="K8" s="100"/>
      <c r="L8" s="100"/>
    </row>
    <row r="9" spans="1:12" s="12" customFormat="1" x14ac:dyDescent="0.25">
      <c r="A9" s="13" t="s">
        <v>36</v>
      </c>
      <c r="B9" s="6" t="s">
        <v>37</v>
      </c>
      <c r="C9" s="11"/>
      <c r="D9" s="12">
        <v>4</v>
      </c>
      <c r="E9" s="12">
        <v>4</v>
      </c>
      <c r="F9" s="12">
        <v>4</v>
      </c>
      <c r="G9" s="47">
        <v>4</v>
      </c>
      <c r="I9" s="12">
        <f t="shared" si="2"/>
        <v>-0.25641272854293373</v>
      </c>
      <c r="J9" s="12">
        <f t="shared" si="3"/>
        <v>-0.25641272854293373</v>
      </c>
      <c r="K9" s="12">
        <f t="shared" si="4"/>
        <v>-0.25641272854293373</v>
      </c>
      <c r="L9" s="12">
        <f t="shared" si="5"/>
        <v>-0.25641272854293373</v>
      </c>
    </row>
    <row r="10" spans="1:12" s="12" customFormat="1" x14ac:dyDescent="0.25">
      <c r="A10" s="13" t="s">
        <v>38</v>
      </c>
      <c r="B10" s="6" t="s">
        <v>39</v>
      </c>
      <c r="C10" s="11"/>
      <c r="D10" s="12">
        <v>5</v>
      </c>
      <c r="E10" s="12">
        <v>5</v>
      </c>
      <c r="F10" s="12">
        <v>5</v>
      </c>
      <c r="G10" s="47">
        <v>5</v>
      </c>
      <c r="I10" s="12">
        <f t="shared" si="2"/>
        <v>5.3103227804749693E-2</v>
      </c>
      <c r="J10" s="12">
        <f t="shared" si="3"/>
        <v>5.3103227804749693E-2</v>
      </c>
      <c r="K10" s="12">
        <f t="shared" si="4"/>
        <v>5.3103227804749693E-2</v>
      </c>
      <c r="L10" s="12">
        <f t="shared" si="5"/>
        <v>5.3103227804749693E-2</v>
      </c>
    </row>
    <row r="11" spans="1:12" s="12" customFormat="1" x14ac:dyDescent="0.25">
      <c r="A11" s="13" t="s">
        <v>42</v>
      </c>
      <c r="B11" s="6" t="s">
        <v>43</v>
      </c>
      <c r="C11" s="11"/>
      <c r="D11" s="47">
        <v>5</v>
      </c>
      <c r="E11" s="47">
        <v>4</v>
      </c>
      <c r="F11" s="47">
        <v>5</v>
      </c>
      <c r="G11" s="47">
        <v>5</v>
      </c>
      <c r="I11" s="12">
        <f t="shared" si="2"/>
        <v>5.3103227804749693E-2</v>
      </c>
      <c r="J11" s="12">
        <f t="shared" si="3"/>
        <v>-0.25641272854293373</v>
      </c>
      <c r="K11" s="12">
        <f t="shared" si="4"/>
        <v>5.3103227804749693E-2</v>
      </c>
      <c r="L11" s="12">
        <f t="shared" si="5"/>
        <v>5.3103227804749693E-2</v>
      </c>
    </row>
    <row r="12" spans="1:12" s="12" customFormat="1" x14ac:dyDescent="0.25">
      <c r="A12" s="13" t="s">
        <v>44</v>
      </c>
      <c r="B12" s="6" t="s">
        <v>45</v>
      </c>
      <c r="C12" s="11"/>
      <c r="D12" s="47">
        <v>3</v>
      </c>
      <c r="E12" s="47">
        <v>4</v>
      </c>
      <c r="F12" s="47">
        <v>4</v>
      </c>
      <c r="G12" s="47">
        <v>4</v>
      </c>
      <c r="I12" s="12">
        <f t="shared" si="2"/>
        <v>-0.5659286848906171</v>
      </c>
      <c r="J12" s="12">
        <f t="shared" si="3"/>
        <v>-0.25641272854293373</v>
      </c>
      <c r="K12" s="12">
        <f t="shared" si="4"/>
        <v>-0.25641272854293373</v>
      </c>
      <c r="L12" s="12">
        <f t="shared" si="5"/>
        <v>-0.25641272854293373</v>
      </c>
    </row>
    <row r="13" spans="1:12" s="12" customFormat="1" x14ac:dyDescent="0.25">
      <c r="A13" s="13" t="s">
        <v>50</v>
      </c>
      <c r="B13" s="6" t="s">
        <v>51</v>
      </c>
      <c r="C13" s="11"/>
      <c r="D13" s="12">
        <v>4</v>
      </c>
      <c r="E13" s="12">
        <v>4</v>
      </c>
      <c r="F13" s="12">
        <v>5</v>
      </c>
      <c r="G13" s="47">
        <v>4</v>
      </c>
      <c r="I13" s="12">
        <f t="shared" si="2"/>
        <v>-0.25641272854293373</v>
      </c>
      <c r="J13" s="12">
        <f t="shared" si="3"/>
        <v>-0.25641272854293373</v>
      </c>
      <c r="K13" s="12">
        <f t="shared" si="4"/>
        <v>5.3103227804749693E-2</v>
      </c>
      <c r="L13" s="12">
        <f t="shared" si="5"/>
        <v>-0.25641272854293373</v>
      </c>
    </row>
    <row r="14" spans="1:12" s="12" customFormat="1" x14ac:dyDescent="0.25">
      <c r="A14" s="13" t="s">
        <v>54</v>
      </c>
      <c r="B14" s="6" t="s">
        <v>55</v>
      </c>
      <c r="C14" s="11"/>
      <c r="D14" s="47">
        <v>5</v>
      </c>
      <c r="E14" s="47">
        <v>4</v>
      </c>
      <c r="F14" s="47">
        <v>5</v>
      </c>
      <c r="G14" s="47">
        <v>5</v>
      </c>
      <c r="I14" s="12">
        <f t="shared" si="2"/>
        <v>5.3103227804749693E-2</v>
      </c>
      <c r="J14" s="12">
        <f t="shared" si="3"/>
        <v>-0.25641272854293373</v>
      </c>
      <c r="K14" s="12">
        <f t="shared" si="4"/>
        <v>5.3103227804749693E-2</v>
      </c>
      <c r="L14" s="12">
        <f t="shared" si="5"/>
        <v>5.3103227804749693E-2</v>
      </c>
    </row>
    <row r="15" spans="1:12" s="12" customFormat="1" x14ac:dyDescent="0.25">
      <c r="A15" s="13" t="s">
        <v>56</v>
      </c>
      <c r="B15" s="6" t="s">
        <v>57</v>
      </c>
      <c r="C15" s="11"/>
      <c r="D15" s="47">
        <v>3</v>
      </c>
      <c r="E15" s="47">
        <v>5</v>
      </c>
      <c r="F15" s="47">
        <v>5</v>
      </c>
      <c r="G15" s="47">
        <v>5</v>
      </c>
      <c r="I15" s="12">
        <f t="shared" si="2"/>
        <v>-0.5659286848906171</v>
      </c>
      <c r="J15" s="12">
        <f t="shared" si="3"/>
        <v>5.3103227804749693E-2</v>
      </c>
      <c r="K15" s="12">
        <f t="shared" si="4"/>
        <v>5.3103227804749693E-2</v>
      </c>
      <c r="L15" s="12">
        <f t="shared" si="5"/>
        <v>5.3103227804749693E-2</v>
      </c>
    </row>
    <row r="16" spans="1:12" x14ac:dyDescent="0.25">
      <c r="A16" s="13" t="s">
        <v>60</v>
      </c>
      <c r="B16" s="6" t="s">
        <v>61</v>
      </c>
      <c r="C16" s="12"/>
      <c r="D16" s="47">
        <v>5</v>
      </c>
      <c r="E16" s="47">
        <v>4</v>
      </c>
      <c r="F16" s="47">
        <v>5</v>
      </c>
      <c r="G16" s="47">
        <v>5</v>
      </c>
      <c r="I16" s="12">
        <f t="shared" si="2"/>
        <v>5.3103227804749693E-2</v>
      </c>
      <c r="J16" s="12">
        <f t="shared" si="3"/>
        <v>-0.25641272854293373</v>
      </c>
      <c r="K16" s="12">
        <f t="shared" si="4"/>
        <v>5.3103227804749693E-2</v>
      </c>
      <c r="L16" s="12">
        <f t="shared" si="5"/>
        <v>5.3103227804749693E-2</v>
      </c>
    </row>
    <row r="17" spans="1:12" s="12" customFormat="1" x14ac:dyDescent="0.25">
      <c r="A17" s="13" t="s">
        <v>70</v>
      </c>
      <c r="B17" s="6" t="s">
        <v>71</v>
      </c>
      <c r="C17" s="11"/>
      <c r="D17" s="47">
        <v>4</v>
      </c>
      <c r="E17" s="47">
        <v>5</v>
      </c>
      <c r="F17" s="47">
        <v>4</v>
      </c>
      <c r="G17" s="47">
        <v>5</v>
      </c>
      <c r="I17" s="12">
        <f t="shared" si="2"/>
        <v>-0.25641272854293373</v>
      </c>
      <c r="J17" s="12">
        <f t="shared" si="3"/>
        <v>5.3103227804749693E-2</v>
      </c>
      <c r="K17" s="12">
        <f t="shared" si="4"/>
        <v>-0.25641272854293373</v>
      </c>
      <c r="L17" s="12">
        <f t="shared" si="5"/>
        <v>5.3103227804749693E-2</v>
      </c>
    </row>
    <row r="18" spans="1:12" s="12" customFormat="1" x14ac:dyDescent="0.25">
      <c r="A18" s="13" t="s">
        <v>78</v>
      </c>
      <c r="B18" s="6" t="s">
        <v>53</v>
      </c>
      <c r="C18" s="11"/>
      <c r="D18" s="12">
        <v>4</v>
      </c>
      <c r="E18" s="12">
        <v>5</v>
      </c>
      <c r="F18" s="12">
        <v>5</v>
      </c>
      <c r="G18" s="47">
        <v>5</v>
      </c>
      <c r="I18" s="12">
        <f t="shared" si="2"/>
        <v>-0.25641272854293373</v>
      </c>
      <c r="J18" s="12">
        <f t="shared" si="3"/>
        <v>5.3103227804749693E-2</v>
      </c>
      <c r="K18" s="12">
        <f t="shared" si="4"/>
        <v>5.3103227804749693E-2</v>
      </c>
      <c r="L18" s="12">
        <f t="shared" si="5"/>
        <v>5.3103227804749693E-2</v>
      </c>
    </row>
    <row r="19" spans="1:12" s="12" customFormat="1" x14ac:dyDescent="0.25">
      <c r="A19" s="13" t="s">
        <v>79</v>
      </c>
      <c r="B19" s="6" t="s">
        <v>80</v>
      </c>
      <c r="C19" s="11"/>
      <c r="D19" s="47">
        <v>4</v>
      </c>
      <c r="E19" s="47">
        <v>3</v>
      </c>
      <c r="F19" s="47">
        <v>5</v>
      </c>
      <c r="G19" s="47">
        <v>4</v>
      </c>
      <c r="I19" s="12">
        <f t="shared" si="2"/>
        <v>-0.25641272854293373</v>
      </c>
      <c r="J19" s="12">
        <f t="shared" si="3"/>
        <v>-0.5659286848906171</v>
      </c>
      <c r="K19" s="12">
        <f t="shared" si="4"/>
        <v>5.3103227804749693E-2</v>
      </c>
      <c r="L19" s="12">
        <f t="shared" si="5"/>
        <v>-0.25641272854293373</v>
      </c>
    </row>
    <row r="20" spans="1:12" s="12" customFormat="1" x14ac:dyDescent="0.25">
      <c r="A20" s="13" t="s">
        <v>81</v>
      </c>
      <c r="B20" s="6" t="s">
        <v>82</v>
      </c>
      <c r="C20" s="11"/>
      <c r="D20" s="47">
        <v>5</v>
      </c>
      <c r="E20" s="47">
        <v>5</v>
      </c>
      <c r="F20" s="47">
        <v>5</v>
      </c>
      <c r="G20" s="47">
        <v>5</v>
      </c>
      <c r="I20" s="12">
        <f t="shared" si="2"/>
        <v>5.3103227804749693E-2</v>
      </c>
      <c r="J20" s="12">
        <f t="shared" si="3"/>
        <v>5.3103227804749693E-2</v>
      </c>
      <c r="K20" s="12">
        <f t="shared" si="4"/>
        <v>5.3103227804749693E-2</v>
      </c>
      <c r="L20" s="12">
        <f t="shared" si="5"/>
        <v>5.3103227804749693E-2</v>
      </c>
    </row>
    <row r="21" spans="1:12" s="12" customFormat="1" x14ac:dyDescent="0.25">
      <c r="A21" s="13" t="s">
        <v>85</v>
      </c>
      <c r="B21" s="6" t="s">
        <v>86</v>
      </c>
      <c r="C21" s="11"/>
      <c r="D21" s="47">
        <v>4</v>
      </c>
      <c r="E21" s="47">
        <v>4</v>
      </c>
      <c r="F21" s="47">
        <v>5</v>
      </c>
      <c r="G21" s="47">
        <v>5</v>
      </c>
      <c r="I21" s="12">
        <f t="shared" si="2"/>
        <v>-0.25641272854293373</v>
      </c>
      <c r="J21" s="12">
        <f t="shared" si="3"/>
        <v>-0.25641272854293373</v>
      </c>
      <c r="K21" s="12">
        <f t="shared" si="4"/>
        <v>5.3103227804749693E-2</v>
      </c>
      <c r="L21" s="12">
        <f t="shared" si="5"/>
        <v>5.3103227804749693E-2</v>
      </c>
    </row>
    <row r="22" spans="1:12" s="12" customFormat="1" x14ac:dyDescent="0.25">
      <c r="A22" s="13" t="s">
        <v>97</v>
      </c>
      <c r="B22" s="6" t="s">
        <v>98</v>
      </c>
      <c r="C22" s="11"/>
      <c r="D22" s="47">
        <v>5</v>
      </c>
      <c r="E22" s="47">
        <v>5</v>
      </c>
      <c r="F22" s="47">
        <v>5</v>
      </c>
      <c r="G22" s="47">
        <v>4</v>
      </c>
      <c r="I22" s="12">
        <f t="shared" si="2"/>
        <v>5.3103227804749693E-2</v>
      </c>
      <c r="J22" s="12">
        <f t="shared" si="3"/>
        <v>5.3103227804749693E-2</v>
      </c>
      <c r="K22" s="12">
        <f t="shared" si="4"/>
        <v>5.3103227804749693E-2</v>
      </c>
      <c r="L22" s="12">
        <f t="shared" si="5"/>
        <v>-0.25641272854293373</v>
      </c>
    </row>
    <row r="23" spans="1:12" s="12" customFormat="1" x14ac:dyDescent="0.25">
      <c r="A23" s="13" t="s">
        <v>101</v>
      </c>
      <c r="B23" s="6" t="s">
        <v>102</v>
      </c>
      <c r="C23" s="11"/>
      <c r="D23" s="47">
        <v>4</v>
      </c>
      <c r="E23" s="47">
        <v>5</v>
      </c>
      <c r="F23" s="47">
        <v>5</v>
      </c>
      <c r="G23" s="47">
        <v>5</v>
      </c>
      <c r="I23" s="12">
        <f t="shared" si="2"/>
        <v>-0.25641272854293373</v>
      </c>
      <c r="J23" s="12">
        <f t="shared" si="3"/>
        <v>5.3103227804749693E-2</v>
      </c>
      <c r="K23" s="12">
        <f t="shared" si="4"/>
        <v>5.3103227804749693E-2</v>
      </c>
      <c r="L23" s="12">
        <f t="shared" si="5"/>
        <v>5.3103227804749693E-2</v>
      </c>
    </row>
    <row r="24" spans="1:12" s="12" customFormat="1" x14ac:dyDescent="0.25">
      <c r="A24" s="13" t="s">
        <v>107</v>
      </c>
      <c r="B24" s="6" t="s">
        <v>108</v>
      </c>
      <c r="C24" s="11"/>
      <c r="D24" s="47">
        <v>5</v>
      </c>
      <c r="E24" s="47">
        <v>4</v>
      </c>
      <c r="F24" s="47">
        <v>5</v>
      </c>
      <c r="G24" s="47">
        <v>5</v>
      </c>
      <c r="I24" s="12">
        <f t="shared" si="2"/>
        <v>5.3103227804749693E-2</v>
      </c>
      <c r="J24" s="12">
        <f t="shared" si="3"/>
        <v>-0.25641272854293373</v>
      </c>
      <c r="K24" s="12">
        <f t="shared" si="4"/>
        <v>5.3103227804749693E-2</v>
      </c>
      <c r="L24" s="12">
        <f t="shared" si="5"/>
        <v>5.3103227804749693E-2</v>
      </c>
    </row>
    <row r="25" spans="1:12" s="12" customFormat="1" x14ac:dyDescent="0.25">
      <c r="A25" s="13" t="s">
        <v>109</v>
      </c>
      <c r="B25" s="6" t="s">
        <v>110</v>
      </c>
      <c r="C25" s="11"/>
      <c r="D25" s="47">
        <v>5</v>
      </c>
      <c r="E25" s="47">
        <v>5</v>
      </c>
      <c r="F25" s="47">
        <v>5</v>
      </c>
      <c r="G25" s="47">
        <v>5</v>
      </c>
      <c r="I25" s="12">
        <f t="shared" si="2"/>
        <v>5.3103227804749693E-2</v>
      </c>
      <c r="J25" s="12">
        <f t="shared" si="3"/>
        <v>5.3103227804749693E-2</v>
      </c>
      <c r="K25" s="12">
        <f t="shared" si="4"/>
        <v>5.3103227804749693E-2</v>
      </c>
      <c r="L25" s="12">
        <f t="shared" si="5"/>
        <v>5.3103227804749693E-2</v>
      </c>
    </row>
    <row r="26" spans="1:12" s="12" customFormat="1" x14ac:dyDescent="0.25">
      <c r="A26" s="13" t="s">
        <v>111</v>
      </c>
      <c r="B26" s="6" t="s">
        <v>112</v>
      </c>
      <c r="C26" s="11"/>
      <c r="D26" s="47">
        <v>5</v>
      </c>
      <c r="E26" s="47">
        <v>5</v>
      </c>
      <c r="F26" s="47">
        <v>5</v>
      </c>
      <c r="G26" s="47">
        <v>5</v>
      </c>
      <c r="I26" s="12">
        <f t="shared" si="2"/>
        <v>5.3103227804749693E-2</v>
      </c>
      <c r="J26" s="12">
        <f t="shared" si="3"/>
        <v>5.3103227804749693E-2</v>
      </c>
      <c r="K26" s="12">
        <f t="shared" si="4"/>
        <v>5.3103227804749693E-2</v>
      </c>
      <c r="L26" s="12">
        <f t="shared" si="5"/>
        <v>5.3103227804749693E-2</v>
      </c>
    </row>
    <row r="27" spans="1:12" s="12" customFormat="1" x14ac:dyDescent="0.25">
      <c r="A27" s="13" t="s">
        <v>121</v>
      </c>
      <c r="B27" s="6" t="s">
        <v>122</v>
      </c>
      <c r="C27" s="11"/>
      <c r="D27" s="12">
        <v>5</v>
      </c>
      <c r="E27" s="12">
        <v>5</v>
      </c>
      <c r="F27" s="12">
        <v>5</v>
      </c>
      <c r="G27" s="47">
        <v>5</v>
      </c>
      <c r="I27" s="12">
        <f t="shared" si="2"/>
        <v>5.3103227804749693E-2</v>
      </c>
      <c r="J27" s="12">
        <f t="shared" si="3"/>
        <v>5.3103227804749693E-2</v>
      </c>
      <c r="K27" s="12">
        <f t="shared" si="4"/>
        <v>5.3103227804749693E-2</v>
      </c>
      <c r="L27" s="12">
        <f t="shared" si="5"/>
        <v>5.3103227804749693E-2</v>
      </c>
    </row>
    <row r="28" spans="1:12" s="12" customFormat="1" x14ac:dyDescent="0.25">
      <c r="A28" s="13" t="s">
        <v>123</v>
      </c>
      <c r="B28" s="6" t="s">
        <v>124</v>
      </c>
      <c r="C28" s="11"/>
      <c r="D28" s="12">
        <v>4</v>
      </c>
      <c r="E28" s="12">
        <v>3</v>
      </c>
      <c r="F28" s="12">
        <v>4</v>
      </c>
      <c r="G28" s="47">
        <v>4</v>
      </c>
      <c r="I28" s="12">
        <f t="shared" si="2"/>
        <v>-0.25641272854293373</v>
      </c>
      <c r="J28" s="12">
        <f t="shared" si="3"/>
        <v>-0.5659286848906171</v>
      </c>
      <c r="K28" s="12">
        <f t="shared" si="4"/>
        <v>-0.25641272854293373</v>
      </c>
      <c r="L28" s="12">
        <f t="shared" si="5"/>
        <v>-0.25641272854293373</v>
      </c>
    </row>
    <row r="29" spans="1:12" s="12" customFormat="1" x14ac:dyDescent="0.25">
      <c r="A29" s="6" t="s">
        <v>134</v>
      </c>
      <c r="B29" s="6" t="s">
        <v>135</v>
      </c>
      <c r="C29" s="11"/>
      <c r="D29" s="47">
        <v>3</v>
      </c>
      <c r="E29" s="47">
        <v>4</v>
      </c>
      <c r="F29" s="47">
        <v>4</v>
      </c>
      <c r="G29" s="47">
        <v>4</v>
      </c>
      <c r="I29" s="12">
        <f t="shared" si="2"/>
        <v>-0.5659286848906171</v>
      </c>
      <c r="J29" s="12">
        <f t="shared" si="3"/>
        <v>-0.25641272854293373</v>
      </c>
      <c r="K29" s="12">
        <f t="shared" si="4"/>
        <v>-0.25641272854293373</v>
      </c>
      <c r="L29" s="12">
        <f t="shared" si="5"/>
        <v>-0.25641272854293373</v>
      </c>
    </row>
    <row r="30" spans="1:12" s="12" customFormat="1" x14ac:dyDescent="0.25">
      <c r="A30" s="6" t="s">
        <v>145</v>
      </c>
      <c r="B30" s="6" t="s">
        <v>146</v>
      </c>
      <c r="C30" s="17">
        <v>42345</v>
      </c>
      <c r="D30" s="47">
        <v>5</v>
      </c>
      <c r="E30" s="47">
        <v>5</v>
      </c>
      <c r="F30" s="47">
        <v>5</v>
      </c>
      <c r="G30" s="47">
        <v>4</v>
      </c>
      <c r="I30" s="12">
        <f t="shared" si="2"/>
        <v>5.3103227804749693E-2</v>
      </c>
      <c r="J30" s="12">
        <f t="shared" si="3"/>
        <v>5.3103227804749693E-2</v>
      </c>
      <c r="K30" s="12">
        <f t="shared" si="4"/>
        <v>5.3103227804749693E-2</v>
      </c>
      <c r="L30" s="12">
        <f t="shared" si="5"/>
        <v>-0.25641272854293373</v>
      </c>
    </row>
    <row r="31" spans="1:12" s="12" customFormat="1" x14ac:dyDescent="0.25">
      <c r="A31" s="6" t="s">
        <v>153</v>
      </c>
      <c r="B31" s="6" t="s">
        <v>154</v>
      </c>
      <c r="C31" s="17">
        <v>42340</v>
      </c>
      <c r="D31" s="12">
        <v>50</v>
      </c>
      <c r="E31" s="12">
        <v>5</v>
      </c>
      <c r="F31" s="12">
        <v>5</v>
      </c>
      <c r="G31" s="47">
        <v>5</v>
      </c>
      <c r="I31" s="12">
        <f t="shared" si="2"/>
        <v>13.981321263450504</v>
      </c>
      <c r="J31" s="12">
        <f t="shared" si="3"/>
        <v>5.3103227804749693E-2</v>
      </c>
      <c r="K31" s="12">
        <f t="shared" si="4"/>
        <v>5.3103227804749693E-2</v>
      </c>
      <c r="L31" s="12">
        <f t="shared" si="5"/>
        <v>5.3103227804749693E-2</v>
      </c>
    </row>
    <row r="32" spans="1:12" s="12" customFormat="1" x14ac:dyDescent="0.25">
      <c r="A32" s="6" t="s">
        <v>163</v>
      </c>
      <c r="B32" s="6" t="s">
        <v>162</v>
      </c>
      <c r="C32" s="17">
        <v>42343</v>
      </c>
      <c r="D32" s="47">
        <v>4</v>
      </c>
      <c r="E32" s="47">
        <v>5</v>
      </c>
      <c r="F32" s="47">
        <v>5</v>
      </c>
      <c r="G32" s="47">
        <v>5</v>
      </c>
      <c r="I32" s="12">
        <f t="shared" si="2"/>
        <v>-0.25641272854293373</v>
      </c>
      <c r="J32" s="12">
        <f t="shared" si="3"/>
        <v>5.3103227804749693E-2</v>
      </c>
      <c r="K32" s="12">
        <f t="shared" si="4"/>
        <v>5.3103227804749693E-2</v>
      </c>
      <c r="L32" s="12">
        <f t="shared" si="5"/>
        <v>5.3103227804749693E-2</v>
      </c>
    </row>
    <row r="33" spans="1:12" s="12" customFormat="1" x14ac:dyDescent="0.25">
      <c r="A33" s="6" t="s">
        <v>166</v>
      </c>
      <c r="B33" s="6" t="s">
        <v>167</v>
      </c>
      <c r="C33" s="17">
        <v>42350</v>
      </c>
      <c r="D33" s="47">
        <v>5</v>
      </c>
      <c r="E33" s="47">
        <v>5</v>
      </c>
      <c r="F33" s="47">
        <v>5</v>
      </c>
      <c r="G33" s="47">
        <v>5</v>
      </c>
      <c r="I33" s="12">
        <f t="shared" si="2"/>
        <v>5.3103227804749693E-2</v>
      </c>
      <c r="J33" s="12">
        <f t="shared" si="3"/>
        <v>5.3103227804749693E-2</v>
      </c>
      <c r="K33" s="12">
        <f t="shared" si="4"/>
        <v>5.3103227804749693E-2</v>
      </c>
      <c r="L33" s="12">
        <f t="shared" si="5"/>
        <v>5.3103227804749693E-2</v>
      </c>
    </row>
    <row r="34" spans="1:12" s="12" customFormat="1" x14ac:dyDescent="0.25">
      <c r="A34" s="6" t="s">
        <v>164</v>
      </c>
      <c r="B34" s="6" t="s">
        <v>165</v>
      </c>
      <c r="C34" s="17">
        <v>42351</v>
      </c>
      <c r="D34" s="47">
        <v>5</v>
      </c>
      <c r="E34" s="47">
        <v>5</v>
      </c>
      <c r="F34" s="47">
        <v>5</v>
      </c>
      <c r="G34" s="47">
        <v>5</v>
      </c>
      <c r="H34" s="47"/>
      <c r="I34" s="12">
        <f t="shared" si="2"/>
        <v>5.3103227804749693E-2</v>
      </c>
      <c r="J34" s="12">
        <f t="shared" si="3"/>
        <v>5.3103227804749693E-2</v>
      </c>
      <c r="K34" s="12">
        <f t="shared" si="4"/>
        <v>5.3103227804749693E-2</v>
      </c>
      <c r="L34" s="12">
        <f t="shared" si="5"/>
        <v>5.3103227804749693E-2</v>
      </c>
    </row>
    <row r="35" spans="1:12" s="12" customFormat="1" x14ac:dyDescent="0.25">
      <c r="B35" s="7"/>
      <c r="C35" s="7"/>
      <c r="I35" s="12">
        <f t="shared" si="2"/>
        <v>-1.4944765539336673</v>
      </c>
      <c r="J35" s="12">
        <f t="shared" si="3"/>
        <v>-1.4944765539336673</v>
      </c>
      <c r="K35" s="12">
        <f t="shared" si="4"/>
        <v>-1.4944765539336673</v>
      </c>
      <c r="L35" s="12">
        <f t="shared" si="5"/>
        <v>-1.4944765539336673</v>
      </c>
    </row>
    <row r="36" spans="1:12" s="12" customFormat="1" x14ac:dyDescent="0.25">
      <c r="A36" s="1" t="s">
        <v>1</v>
      </c>
      <c r="B36" s="7"/>
      <c r="C36" s="7"/>
      <c r="I36" s="12">
        <f t="shared" si="2"/>
        <v>-1.4944765539336673</v>
      </c>
      <c r="J36" s="12">
        <f t="shared" si="3"/>
        <v>-1.4944765539336673</v>
      </c>
      <c r="K36" s="12">
        <f t="shared" si="4"/>
        <v>-1.4944765539336673</v>
      </c>
      <c r="L36" s="12">
        <f t="shared" si="5"/>
        <v>-1.4944765539336673</v>
      </c>
    </row>
    <row r="37" spans="1:12" s="12" customFormat="1" x14ac:dyDescent="0.25">
      <c r="A37" s="13" t="s">
        <v>23</v>
      </c>
      <c r="B37" s="6" t="s">
        <v>24</v>
      </c>
      <c r="C37" s="11"/>
      <c r="D37" s="47">
        <v>5</v>
      </c>
      <c r="E37" s="47">
        <v>5</v>
      </c>
      <c r="F37" s="47">
        <v>5</v>
      </c>
      <c r="G37" s="47">
        <v>5</v>
      </c>
      <c r="I37" s="12">
        <f t="shared" si="2"/>
        <v>5.3103227804749693E-2</v>
      </c>
      <c r="J37" s="12">
        <f t="shared" si="3"/>
        <v>5.3103227804749693E-2</v>
      </c>
      <c r="K37" s="12">
        <f t="shared" si="4"/>
        <v>5.3103227804749693E-2</v>
      </c>
      <c r="L37" s="12">
        <f t="shared" si="5"/>
        <v>5.3103227804749693E-2</v>
      </c>
    </row>
    <row r="38" spans="1:12" s="12" customFormat="1" x14ac:dyDescent="0.25">
      <c r="A38" s="13" t="s">
        <v>25</v>
      </c>
      <c r="B38" s="6" t="s">
        <v>26</v>
      </c>
      <c r="C38" s="11"/>
      <c r="D38" s="47">
        <v>5</v>
      </c>
      <c r="E38" s="47">
        <v>5</v>
      </c>
      <c r="F38" s="47">
        <v>5</v>
      </c>
      <c r="G38" s="47">
        <v>5</v>
      </c>
      <c r="I38" s="12">
        <f t="shared" si="2"/>
        <v>5.3103227804749693E-2</v>
      </c>
      <c r="J38" s="12">
        <f t="shared" si="3"/>
        <v>5.3103227804749693E-2</v>
      </c>
      <c r="K38" s="12">
        <f t="shared" si="4"/>
        <v>5.3103227804749693E-2</v>
      </c>
      <c r="L38" s="12">
        <f t="shared" si="5"/>
        <v>5.3103227804749693E-2</v>
      </c>
    </row>
    <row r="39" spans="1:12" s="12" customFormat="1" x14ac:dyDescent="0.25">
      <c r="A39" s="13" t="s">
        <v>27</v>
      </c>
      <c r="B39" s="6" t="s">
        <v>28</v>
      </c>
      <c r="C39" s="11"/>
      <c r="D39" s="47">
        <v>5</v>
      </c>
      <c r="E39" s="47">
        <v>5</v>
      </c>
      <c r="F39" s="47">
        <v>5</v>
      </c>
      <c r="G39" s="47">
        <v>5</v>
      </c>
      <c r="I39" s="12">
        <f t="shared" si="2"/>
        <v>5.3103227804749693E-2</v>
      </c>
      <c r="J39" s="12">
        <f t="shared" si="3"/>
        <v>5.3103227804749693E-2</v>
      </c>
      <c r="K39" s="12">
        <f t="shared" si="4"/>
        <v>5.3103227804749693E-2</v>
      </c>
      <c r="L39" s="12">
        <f t="shared" si="5"/>
        <v>5.3103227804749693E-2</v>
      </c>
    </row>
    <row r="40" spans="1:12" s="12" customFormat="1" ht="31.5" x14ac:dyDescent="0.25">
      <c r="A40" s="13" t="s">
        <v>48</v>
      </c>
      <c r="B40" s="6" t="s">
        <v>49</v>
      </c>
      <c r="C40" s="11"/>
      <c r="D40" s="47">
        <v>5</v>
      </c>
      <c r="E40" s="47">
        <v>5</v>
      </c>
      <c r="F40" s="47">
        <v>4</v>
      </c>
      <c r="G40" s="47">
        <v>4</v>
      </c>
      <c r="I40" s="12">
        <f t="shared" si="2"/>
        <v>5.3103227804749693E-2</v>
      </c>
      <c r="J40" s="12">
        <f t="shared" si="3"/>
        <v>5.3103227804749693E-2</v>
      </c>
      <c r="K40" s="12">
        <f t="shared" si="4"/>
        <v>-0.25641272854293373</v>
      </c>
      <c r="L40" s="12">
        <f t="shared" si="5"/>
        <v>-0.25641272854293373</v>
      </c>
    </row>
    <row r="41" spans="1:12" s="12" customFormat="1" x14ac:dyDescent="0.25">
      <c r="A41" s="13" t="s">
        <v>76</v>
      </c>
      <c r="B41" s="6" t="s">
        <v>77</v>
      </c>
      <c r="C41" s="11"/>
      <c r="D41" s="47">
        <v>4</v>
      </c>
      <c r="E41" s="47">
        <v>4</v>
      </c>
      <c r="F41" s="47">
        <v>5</v>
      </c>
      <c r="G41" s="47">
        <v>4</v>
      </c>
      <c r="I41" s="12">
        <f t="shared" si="2"/>
        <v>-0.25641272854293373</v>
      </c>
      <c r="J41" s="12">
        <f t="shared" si="3"/>
        <v>-0.25641272854293373</v>
      </c>
      <c r="K41" s="12">
        <f t="shared" si="4"/>
        <v>5.3103227804749693E-2</v>
      </c>
      <c r="L41" s="12">
        <f t="shared" si="5"/>
        <v>-0.25641272854293373</v>
      </c>
    </row>
    <row r="42" spans="1:12" s="12" customFormat="1" x14ac:dyDescent="0.25">
      <c r="A42" s="13" t="s">
        <v>91</v>
      </c>
      <c r="B42" s="6" t="s">
        <v>92</v>
      </c>
      <c r="C42" s="11"/>
      <c r="D42" s="47">
        <v>4</v>
      </c>
      <c r="E42" s="47">
        <v>5</v>
      </c>
      <c r="F42" s="47">
        <v>4</v>
      </c>
      <c r="G42" s="47">
        <v>5</v>
      </c>
      <c r="I42" s="12">
        <f t="shared" si="2"/>
        <v>-0.25641272854293373</v>
      </c>
      <c r="J42" s="12">
        <f t="shared" si="3"/>
        <v>5.3103227804749693E-2</v>
      </c>
      <c r="K42" s="12">
        <f t="shared" si="4"/>
        <v>-0.25641272854293373</v>
      </c>
      <c r="L42" s="12">
        <f t="shared" si="5"/>
        <v>5.3103227804749693E-2</v>
      </c>
    </row>
    <row r="43" spans="1:12" s="12" customFormat="1" x14ac:dyDescent="0.25">
      <c r="A43" s="13" t="s">
        <v>95</v>
      </c>
      <c r="B43" s="6" t="s">
        <v>96</v>
      </c>
      <c r="C43" s="11"/>
      <c r="D43" s="47">
        <v>5</v>
      </c>
      <c r="E43" s="47">
        <v>5</v>
      </c>
      <c r="F43" s="47">
        <v>5</v>
      </c>
      <c r="G43" s="47">
        <v>5</v>
      </c>
      <c r="I43" s="12">
        <f t="shared" si="2"/>
        <v>5.3103227804749693E-2</v>
      </c>
      <c r="J43" s="12">
        <f t="shared" si="3"/>
        <v>5.3103227804749693E-2</v>
      </c>
      <c r="K43" s="12">
        <f t="shared" si="4"/>
        <v>5.3103227804749693E-2</v>
      </c>
      <c r="L43" s="12">
        <f t="shared" si="5"/>
        <v>5.3103227804749693E-2</v>
      </c>
    </row>
    <row r="44" spans="1:12" s="12" customFormat="1" x14ac:dyDescent="0.25">
      <c r="A44" s="13" t="s">
        <v>115</v>
      </c>
      <c r="B44" s="6" t="s">
        <v>116</v>
      </c>
      <c r="C44" s="11"/>
      <c r="D44" s="47">
        <v>5</v>
      </c>
      <c r="E44" s="47">
        <v>5</v>
      </c>
      <c r="F44" s="47">
        <v>5</v>
      </c>
      <c r="G44" s="47">
        <v>5</v>
      </c>
      <c r="I44" s="12">
        <f t="shared" si="2"/>
        <v>5.3103227804749693E-2</v>
      </c>
      <c r="J44" s="12">
        <f t="shared" si="3"/>
        <v>5.3103227804749693E-2</v>
      </c>
      <c r="K44" s="12">
        <f t="shared" si="4"/>
        <v>5.3103227804749693E-2</v>
      </c>
      <c r="L44" s="12">
        <f t="shared" si="5"/>
        <v>5.3103227804749693E-2</v>
      </c>
    </row>
    <row r="45" spans="1:12" s="12" customFormat="1" x14ac:dyDescent="0.25">
      <c r="A45" s="13" t="s">
        <v>117</v>
      </c>
      <c r="B45" s="6" t="s">
        <v>118</v>
      </c>
      <c r="C45" s="11"/>
      <c r="D45" s="47">
        <v>4</v>
      </c>
      <c r="E45" s="47">
        <v>5</v>
      </c>
      <c r="F45" s="47">
        <v>4</v>
      </c>
      <c r="G45" s="47">
        <v>4</v>
      </c>
      <c r="I45" s="12">
        <f t="shared" si="2"/>
        <v>-0.25641272854293373</v>
      </c>
      <c r="J45" s="12">
        <f t="shared" si="3"/>
        <v>5.3103227804749693E-2</v>
      </c>
      <c r="K45" s="12">
        <f t="shared" si="4"/>
        <v>-0.25641272854293373</v>
      </c>
      <c r="L45" s="12">
        <f t="shared" si="5"/>
        <v>-0.25641272854293373</v>
      </c>
    </row>
    <row r="46" spans="1:12" s="12" customFormat="1" x14ac:dyDescent="0.25">
      <c r="A46" s="6" t="s">
        <v>136</v>
      </c>
      <c r="B46" s="6" t="s">
        <v>137</v>
      </c>
      <c r="C46" s="17">
        <v>42340</v>
      </c>
      <c r="D46" s="47">
        <v>5</v>
      </c>
      <c r="E46" s="47">
        <v>4</v>
      </c>
      <c r="F46" s="47">
        <v>4</v>
      </c>
      <c r="G46" s="47">
        <v>5</v>
      </c>
      <c r="I46" s="12">
        <f t="shared" si="2"/>
        <v>5.3103227804749693E-2</v>
      </c>
      <c r="J46" s="12">
        <f t="shared" si="3"/>
        <v>-0.25641272854293373</v>
      </c>
      <c r="K46" s="12">
        <f t="shared" si="4"/>
        <v>-0.25641272854293373</v>
      </c>
      <c r="L46" s="12">
        <f t="shared" si="5"/>
        <v>5.3103227804749693E-2</v>
      </c>
    </row>
    <row r="47" spans="1:12" s="12" customFormat="1" x14ac:dyDescent="0.25">
      <c r="A47" s="6"/>
      <c r="B47" s="6"/>
    </row>
    <row r="48" spans="1:12" s="12" customFormat="1" x14ac:dyDescent="0.25">
      <c r="A48" s="1" t="s">
        <v>2</v>
      </c>
      <c r="B48" s="7"/>
      <c r="C48" s="7"/>
    </row>
    <row r="49" spans="1:12" s="12" customFormat="1" x14ac:dyDescent="0.25">
      <c r="A49" s="13" t="s">
        <v>40</v>
      </c>
      <c r="B49" s="6" t="s">
        <v>41</v>
      </c>
      <c r="C49" s="11"/>
      <c r="D49" s="47">
        <v>5</v>
      </c>
      <c r="E49" s="47">
        <v>5</v>
      </c>
      <c r="F49" s="47">
        <v>4</v>
      </c>
      <c r="G49" s="47">
        <v>4</v>
      </c>
      <c r="I49" s="12">
        <f t="shared" si="2"/>
        <v>5.3103227804749693E-2</v>
      </c>
      <c r="J49" s="12">
        <f t="shared" si="3"/>
        <v>5.3103227804749693E-2</v>
      </c>
      <c r="K49" s="12">
        <f t="shared" si="4"/>
        <v>-0.25641272854293373</v>
      </c>
      <c r="L49" s="12">
        <f t="shared" si="5"/>
        <v>-0.25641272854293373</v>
      </c>
    </row>
    <row r="50" spans="1:12" s="12" customFormat="1" x14ac:dyDescent="0.25">
      <c r="A50" s="13" t="s">
        <v>64</v>
      </c>
      <c r="B50" s="6" t="s">
        <v>65</v>
      </c>
      <c r="C50" s="11"/>
      <c r="D50" s="12">
        <v>3</v>
      </c>
      <c r="E50" s="12">
        <v>3</v>
      </c>
      <c r="F50" s="12">
        <v>4</v>
      </c>
      <c r="G50" s="47">
        <v>4</v>
      </c>
      <c r="I50" s="12">
        <f t="shared" si="2"/>
        <v>-0.5659286848906171</v>
      </c>
      <c r="J50" s="12">
        <f t="shared" si="3"/>
        <v>-0.5659286848906171</v>
      </c>
      <c r="K50" s="12">
        <f t="shared" si="4"/>
        <v>-0.25641272854293373</v>
      </c>
      <c r="L50" s="12">
        <f t="shared" si="5"/>
        <v>-0.25641272854293373</v>
      </c>
    </row>
    <row r="51" spans="1:12" s="12" customFormat="1" x14ac:dyDescent="0.25">
      <c r="A51" s="13" t="s">
        <v>99</v>
      </c>
      <c r="B51" s="6" t="s">
        <v>100</v>
      </c>
      <c r="C51" s="11"/>
      <c r="D51" s="47">
        <v>5</v>
      </c>
      <c r="E51" s="47">
        <v>5</v>
      </c>
      <c r="F51" s="47">
        <v>5</v>
      </c>
      <c r="G51" s="47">
        <v>5</v>
      </c>
      <c r="I51" s="12">
        <f t="shared" si="2"/>
        <v>5.3103227804749693E-2</v>
      </c>
      <c r="J51" s="12">
        <f t="shared" si="3"/>
        <v>5.3103227804749693E-2</v>
      </c>
      <c r="K51" s="12">
        <f t="shared" si="4"/>
        <v>5.3103227804749693E-2</v>
      </c>
      <c r="L51" s="12">
        <f t="shared" si="5"/>
        <v>5.3103227804749693E-2</v>
      </c>
    </row>
    <row r="52" spans="1:12" s="12" customFormat="1" x14ac:dyDescent="0.25">
      <c r="A52" s="13" t="s">
        <v>103</v>
      </c>
      <c r="B52" s="6" t="s">
        <v>104</v>
      </c>
      <c r="C52" s="11"/>
      <c r="D52" s="47">
        <v>3</v>
      </c>
      <c r="E52" s="47">
        <v>3</v>
      </c>
      <c r="F52" s="47">
        <v>4</v>
      </c>
      <c r="G52" s="47">
        <v>5</v>
      </c>
      <c r="I52" s="12">
        <f t="shared" si="2"/>
        <v>-0.5659286848906171</v>
      </c>
      <c r="J52" s="12">
        <f t="shared" si="3"/>
        <v>-0.5659286848906171</v>
      </c>
      <c r="K52" s="12">
        <f t="shared" si="4"/>
        <v>-0.25641272854293373</v>
      </c>
      <c r="L52" s="12">
        <f t="shared" si="5"/>
        <v>5.3103227804749693E-2</v>
      </c>
    </row>
    <row r="53" spans="1:12" s="12" customFormat="1" ht="31.5" x14ac:dyDescent="0.25">
      <c r="A53" s="13" t="s">
        <v>113</v>
      </c>
      <c r="B53" s="6" t="s">
        <v>114</v>
      </c>
      <c r="C53" s="11"/>
      <c r="D53" s="47">
        <v>5</v>
      </c>
      <c r="E53" s="47">
        <v>5</v>
      </c>
      <c r="F53" s="47">
        <v>5</v>
      </c>
      <c r="G53" s="47">
        <v>5</v>
      </c>
      <c r="I53" s="12">
        <f t="shared" si="2"/>
        <v>5.3103227804749693E-2</v>
      </c>
      <c r="J53" s="12">
        <f t="shared" si="3"/>
        <v>5.3103227804749693E-2</v>
      </c>
      <c r="K53" s="12">
        <f t="shared" si="4"/>
        <v>5.3103227804749693E-2</v>
      </c>
      <c r="L53" s="12">
        <f t="shared" si="5"/>
        <v>5.3103227804749693E-2</v>
      </c>
    </row>
    <row r="54" spans="1:12" s="12" customFormat="1" ht="31.5" x14ac:dyDescent="0.25">
      <c r="A54" s="13" t="s">
        <v>119</v>
      </c>
      <c r="B54" s="6" t="s">
        <v>120</v>
      </c>
      <c r="C54" s="11"/>
      <c r="D54" s="47">
        <v>5</v>
      </c>
      <c r="E54" s="47">
        <v>5</v>
      </c>
      <c r="F54" s="47">
        <v>5</v>
      </c>
      <c r="G54" s="47">
        <v>5</v>
      </c>
      <c r="I54" s="12">
        <f t="shared" si="2"/>
        <v>5.3103227804749693E-2</v>
      </c>
      <c r="J54" s="12">
        <f t="shared" si="3"/>
        <v>5.3103227804749693E-2</v>
      </c>
      <c r="K54" s="12">
        <f t="shared" si="4"/>
        <v>5.3103227804749693E-2</v>
      </c>
      <c r="L54" s="12">
        <f t="shared" si="5"/>
        <v>5.3103227804749693E-2</v>
      </c>
    </row>
    <row r="55" spans="1:12" s="12" customFormat="1" x14ac:dyDescent="0.25">
      <c r="A55" s="6" t="s">
        <v>161</v>
      </c>
      <c r="B55" s="6" t="s">
        <v>162</v>
      </c>
      <c r="C55" s="17">
        <v>42344</v>
      </c>
      <c r="D55" s="12">
        <v>4</v>
      </c>
      <c r="E55" s="12">
        <v>5</v>
      </c>
      <c r="F55" s="12">
        <v>5</v>
      </c>
      <c r="G55" s="47">
        <v>5</v>
      </c>
      <c r="I55" s="12">
        <f t="shared" si="2"/>
        <v>-0.25641272854293373</v>
      </c>
      <c r="J55" s="12">
        <f t="shared" si="3"/>
        <v>5.3103227804749693E-2</v>
      </c>
      <c r="K55" s="12">
        <f t="shared" si="4"/>
        <v>5.3103227804749693E-2</v>
      </c>
      <c r="L55" s="12">
        <f t="shared" si="5"/>
        <v>5.3103227804749693E-2</v>
      </c>
    </row>
    <row r="56" spans="1:12" s="12" customFormat="1" x14ac:dyDescent="0.25"/>
    <row r="57" spans="1:12" s="12" customFormat="1" x14ac:dyDescent="0.25">
      <c r="A57" s="1" t="s">
        <v>18</v>
      </c>
      <c r="B57" s="7"/>
      <c r="C57" s="7"/>
    </row>
    <row r="58" spans="1:12" s="12" customFormat="1" ht="31.5" x14ac:dyDescent="0.25">
      <c r="A58" s="13" t="s">
        <v>29</v>
      </c>
      <c r="B58" s="6" t="s">
        <v>30</v>
      </c>
      <c r="C58" s="11"/>
    </row>
    <row r="59" spans="1:12" s="12" customFormat="1" x14ac:dyDescent="0.25">
      <c r="A59" s="13" t="s">
        <v>66</v>
      </c>
      <c r="B59" s="6" t="s">
        <v>24</v>
      </c>
      <c r="C59" s="11"/>
    </row>
    <row r="60" spans="1:12" s="12" customFormat="1" x14ac:dyDescent="0.25">
      <c r="A60" s="13" t="s">
        <v>67</v>
      </c>
      <c r="B60" s="6" t="s">
        <v>55</v>
      </c>
      <c r="C60" s="11"/>
    </row>
    <row r="61" spans="1:12" s="12" customFormat="1" x14ac:dyDescent="0.25">
      <c r="A61" s="13" t="s">
        <v>89</v>
      </c>
      <c r="B61" s="6" t="s">
        <v>90</v>
      </c>
      <c r="C61" s="11"/>
    </row>
    <row r="62" spans="1:12" s="12" customFormat="1" x14ac:dyDescent="0.25">
      <c r="A62" s="13" t="s">
        <v>125</v>
      </c>
      <c r="B62" s="6" t="s">
        <v>126</v>
      </c>
      <c r="C62" s="11"/>
    </row>
    <row r="63" spans="1:12" s="12" customFormat="1" x14ac:dyDescent="0.25">
      <c r="A63" s="13" t="s">
        <v>127</v>
      </c>
      <c r="B63" s="6" t="s">
        <v>128</v>
      </c>
      <c r="C63" s="11"/>
    </row>
    <row r="64" spans="1:12" s="12" customFormat="1" x14ac:dyDescent="0.25">
      <c r="A64" s="13" t="s">
        <v>129</v>
      </c>
      <c r="B64" s="6" t="s">
        <v>130</v>
      </c>
      <c r="C64" s="11"/>
    </row>
    <row r="65" spans="1:12" s="12" customFormat="1" x14ac:dyDescent="0.25">
      <c r="A65" s="6" t="s">
        <v>138</v>
      </c>
      <c r="B65" s="6" t="s">
        <v>139</v>
      </c>
      <c r="C65" s="17">
        <v>42349</v>
      </c>
    </row>
    <row r="66" spans="1:12" s="12" customFormat="1" x14ac:dyDescent="0.25">
      <c r="A66" s="6" t="s">
        <v>140</v>
      </c>
      <c r="B66" s="6" t="s">
        <v>141</v>
      </c>
      <c r="C66" s="11"/>
    </row>
    <row r="67" spans="1:12" s="12" customFormat="1" x14ac:dyDescent="0.25">
      <c r="A67" s="6" t="s">
        <v>151</v>
      </c>
      <c r="B67" s="6" t="s">
        <v>152</v>
      </c>
      <c r="C67" s="17">
        <v>42341</v>
      </c>
    </row>
    <row r="68" spans="1:12" s="12" customFormat="1" x14ac:dyDescent="0.25">
      <c r="A68" s="6" t="s">
        <v>157</v>
      </c>
      <c r="B68" s="6" t="s">
        <v>158</v>
      </c>
      <c r="C68" s="17">
        <v>42341</v>
      </c>
    </row>
    <row r="69" spans="1:12" s="12" customFormat="1" x14ac:dyDescent="0.25">
      <c r="A69" s="6" t="s">
        <v>159</v>
      </c>
      <c r="B69" s="6" t="s">
        <v>160</v>
      </c>
      <c r="C69" s="17">
        <v>42346</v>
      </c>
    </row>
    <row r="70" spans="1:12" s="12" customFormat="1" x14ac:dyDescent="0.25">
      <c r="A70" s="6" t="s">
        <v>168</v>
      </c>
      <c r="B70" s="6" t="s">
        <v>169</v>
      </c>
      <c r="C70" s="17">
        <v>42350</v>
      </c>
    </row>
    <row r="71" spans="1:12" s="12" customFormat="1" x14ac:dyDescent="0.25">
      <c r="A71" s="6"/>
      <c r="B71" s="6"/>
      <c r="C71" s="11"/>
    </row>
    <row r="72" spans="1:12" s="12" customFormat="1" x14ac:dyDescent="0.25">
      <c r="A72" s="1" t="s">
        <v>19</v>
      </c>
      <c r="B72" s="11"/>
      <c r="C72" s="11"/>
    </row>
    <row r="73" spans="1:12" s="12" customFormat="1" x14ac:dyDescent="0.25">
      <c r="A73" s="13" t="s">
        <v>46</v>
      </c>
      <c r="B73" s="6" t="s">
        <v>47</v>
      </c>
      <c r="C73" s="11"/>
      <c r="D73" s="12">
        <v>4</v>
      </c>
      <c r="E73" s="12">
        <v>4</v>
      </c>
      <c r="F73" s="12">
        <v>5</v>
      </c>
      <c r="G73" s="47">
        <v>5</v>
      </c>
      <c r="I73" s="12">
        <f t="shared" ref="I73:I78" si="6">STANDARDIZE(D73,$I$1,$K$1)</f>
        <v>-0.25641272854293373</v>
      </c>
      <c r="J73" s="12">
        <f t="shared" ref="J73:J78" si="7">STANDARDIZE(E73,$I$1,$K$1)</f>
        <v>-0.25641272854293373</v>
      </c>
      <c r="K73" s="12">
        <f t="shared" ref="K73:K78" si="8">STANDARDIZE(F73,$I$1,$K$1)</f>
        <v>5.3103227804749693E-2</v>
      </c>
      <c r="L73" s="12">
        <f t="shared" ref="L73:L78" si="9">STANDARDIZE(G73,$I$1,$K$1)</f>
        <v>5.3103227804749693E-2</v>
      </c>
    </row>
    <row r="74" spans="1:12" s="12" customFormat="1" x14ac:dyDescent="0.25">
      <c r="A74" s="6" t="s">
        <v>142</v>
      </c>
      <c r="B74" s="6" t="s">
        <v>143</v>
      </c>
      <c r="C74" s="17">
        <v>42342</v>
      </c>
      <c r="D74" s="12">
        <v>5</v>
      </c>
      <c r="E74" s="12">
        <v>5</v>
      </c>
      <c r="F74" s="12">
        <v>5</v>
      </c>
      <c r="G74" s="47">
        <v>5</v>
      </c>
      <c r="I74" s="12">
        <f t="shared" si="6"/>
        <v>5.3103227804749693E-2</v>
      </c>
      <c r="J74" s="12">
        <f t="shared" si="7"/>
        <v>5.3103227804749693E-2</v>
      </c>
      <c r="K74" s="12">
        <f t="shared" si="8"/>
        <v>5.3103227804749693E-2</v>
      </c>
      <c r="L74" s="12">
        <f t="shared" si="9"/>
        <v>5.3103227804749693E-2</v>
      </c>
    </row>
    <row r="75" spans="1:12" s="12" customFormat="1" x14ac:dyDescent="0.25">
      <c r="A75" s="6" t="s">
        <v>144</v>
      </c>
      <c r="B75" s="6" t="s">
        <v>55</v>
      </c>
      <c r="C75" s="17">
        <v>42344</v>
      </c>
      <c r="D75" s="12">
        <v>5</v>
      </c>
      <c r="E75" s="12">
        <v>4</v>
      </c>
      <c r="F75" s="12">
        <v>5</v>
      </c>
      <c r="G75" s="47">
        <v>5</v>
      </c>
      <c r="I75" s="12">
        <f t="shared" si="6"/>
        <v>5.3103227804749693E-2</v>
      </c>
      <c r="J75" s="12">
        <f t="shared" si="7"/>
        <v>-0.25641272854293373</v>
      </c>
      <c r="K75" s="12">
        <f t="shared" si="8"/>
        <v>5.3103227804749693E-2</v>
      </c>
      <c r="L75" s="12">
        <f t="shared" si="9"/>
        <v>5.3103227804749693E-2</v>
      </c>
    </row>
    <row r="76" spans="1:12" s="12" customFormat="1" x14ac:dyDescent="0.25">
      <c r="A76" s="6" t="s">
        <v>147</v>
      </c>
      <c r="B76" s="6" t="s">
        <v>148</v>
      </c>
      <c r="C76" s="17">
        <v>42347</v>
      </c>
      <c r="D76" s="47">
        <v>4</v>
      </c>
      <c r="E76" s="47">
        <v>4</v>
      </c>
      <c r="F76" s="47">
        <v>4</v>
      </c>
      <c r="G76" s="47">
        <v>4</v>
      </c>
      <c r="I76" s="12">
        <f t="shared" si="6"/>
        <v>-0.25641272854293373</v>
      </c>
      <c r="J76" s="12">
        <f t="shared" si="7"/>
        <v>-0.25641272854293373</v>
      </c>
      <c r="K76" s="12">
        <f t="shared" si="8"/>
        <v>-0.25641272854293373</v>
      </c>
      <c r="L76" s="12">
        <f t="shared" si="9"/>
        <v>-0.25641272854293373</v>
      </c>
    </row>
    <row r="77" spans="1:12" s="12" customFormat="1" x14ac:dyDescent="0.25">
      <c r="A77" s="6" t="s">
        <v>149</v>
      </c>
      <c r="B77" s="6" t="s">
        <v>150</v>
      </c>
      <c r="C77" s="17">
        <v>42346</v>
      </c>
      <c r="D77" s="47">
        <v>5</v>
      </c>
      <c r="E77" s="47">
        <v>5</v>
      </c>
      <c r="F77" s="47">
        <v>4</v>
      </c>
      <c r="G77" s="47">
        <v>5</v>
      </c>
      <c r="I77" s="12">
        <f t="shared" si="6"/>
        <v>5.3103227804749693E-2</v>
      </c>
      <c r="J77" s="12">
        <f t="shared" si="7"/>
        <v>5.3103227804749693E-2</v>
      </c>
      <c r="K77" s="12">
        <f t="shared" si="8"/>
        <v>-0.25641272854293373</v>
      </c>
      <c r="L77" s="12">
        <f t="shared" si="9"/>
        <v>5.3103227804749693E-2</v>
      </c>
    </row>
    <row r="78" spans="1:12" s="12" customFormat="1" x14ac:dyDescent="0.25">
      <c r="A78" s="6" t="s">
        <v>155</v>
      </c>
      <c r="B78" s="6" t="s">
        <v>156</v>
      </c>
      <c r="C78" s="17">
        <v>42348</v>
      </c>
      <c r="D78" s="47">
        <v>5</v>
      </c>
      <c r="E78" s="47">
        <v>5</v>
      </c>
      <c r="F78" s="47">
        <v>5</v>
      </c>
      <c r="G78" s="47">
        <v>5</v>
      </c>
      <c r="I78" s="12">
        <f t="shared" si="6"/>
        <v>5.3103227804749693E-2</v>
      </c>
      <c r="J78" s="12">
        <f t="shared" si="7"/>
        <v>5.3103227804749693E-2</v>
      </c>
      <c r="K78" s="12">
        <f t="shared" si="8"/>
        <v>5.3103227804749693E-2</v>
      </c>
      <c r="L78" s="12">
        <f t="shared" si="9"/>
        <v>5.3103227804749693E-2</v>
      </c>
    </row>
    <row r="79" spans="1:12" s="12" customFormat="1" x14ac:dyDescent="0.25">
      <c r="A79" s="11"/>
      <c r="B79" s="11"/>
      <c r="C79" s="11"/>
    </row>
    <row r="80" spans="1:12" s="12" customFormat="1" x14ac:dyDescent="0.25">
      <c r="A80" s="1" t="s">
        <v>20</v>
      </c>
      <c r="B80" s="11"/>
      <c r="C80" s="11"/>
    </row>
    <row r="81" spans="1:7" s="12" customFormat="1" x14ac:dyDescent="0.25">
      <c r="A81" s="13" t="s">
        <v>34</v>
      </c>
      <c r="B81" s="6" t="s">
        <v>35</v>
      </c>
      <c r="C81" s="11"/>
    </row>
    <row r="82" spans="1:7" s="12" customFormat="1" x14ac:dyDescent="0.25">
      <c r="A82" s="13" t="s">
        <v>52</v>
      </c>
      <c r="B82" s="6" t="s">
        <v>53</v>
      </c>
      <c r="C82" s="11"/>
    </row>
    <row r="83" spans="1:7" s="12" customFormat="1" x14ac:dyDescent="0.25">
      <c r="A83" s="13" t="s">
        <v>58</v>
      </c>
      <c r="B83" s="6" t="s">
        <v>59</v>
      </c>
      <c r="C83" s="11"/>
    </row>
    <row r="84" spans="1:7" s="12" customFormat="1" x14ac:dyDescent="0.25">
      <c r="A84" s="13" t="s">
        <v>62</v>
      </c>
      <c r="B84" s="6" t="s">
        <v>63</v>
      </c>
      <c r="C84" s="11"/>
    </row>
    <row r="85" spans="1:7" s="12" customFormat="1" x14ac:dyDescent="0.25">
      <c r="A85" s="13" t="s">
        <v>68</v>
      </c>
      <c r="B85" s="6" t="s">
        <v>69</v>
      </c>
      <c r="C85" s="11"/>
    </row>
    <row r="86" spans="1:7" s="12" customFormat="1" x14ac:dyDescent="0.25">
      <c r="A86" s="13" t="s">
        <v>72</v>
      </c>
      <c r="B86" s="6" t="s">
        <v>73</v>
      </c>
      <c r="C86" s="11"/>
    </row>
    <row r="87" spans="1:7" s="12" customFormat="1" x14ac:dyDescent="0.25">
      <c r="A87" s="13" t="s">
        <v>74</v>
      </c>
      <c r="B87" s="6" t="s">
        <v>75</v>
      </c>
      <c r="C87" s="11"/>
    </row>
    <row r="88" spans="1:7" s="12" customFormat="1" x14ac:dyDescent="0.25">
      <c r="A88" s="13" t="s">
        <v>83</v>
      </c>
      <c r="B88" s="6" t="s">
        <v>84</v>
      </c>
      <c r="C88" s="11"/>
    </row>
    <row r="89" spans="1:7" s="12" customFormat="1" x14ac:dyDescent="0.25">
      <c r="A89" s="13" t="s">
        <v>87</v>
      </c>
      <c r="B89" s="6" t="s">
        <v>88</v>
      </c>
      <c r="C89" s="11"/>
    </row>
    <row r="90" spans="1:7" s="12" customFormat="1" x14ac:dyDescent="0.25">
      <c r="A90" s="13" t="s">
        <v>93</v>
      </c>
      <c r="B90" s="6" t="s">
        <v>94</v>
      </c>
      <c r="C90" s="11"/>
    </row>
    <row r="91" spans="1:7" s="12" customFormat="1" x14ac:dyDescent="0.25">
      <c r="A91" s="13" t="s">
        <v>105</v>
      </c>
      <c r="B91" s="6" t="s">
        <v>106</v>
      </c>
      <c r="C91" s="11"/>
    </row>
    <row r="92" spans="1:7" s="12" customFormat="1" x14ac:dyDescent="0.25">
      <c r="A92" s="6" t="s">
        <v>131</v>
      </c>
      <c r="B92" s="6" t="s">
        <v>57</v>
      </c>
      <c r="C92" s="11"/>
    </row>
    <row r="93" spans="1:7" s="12" customFormat="1" x14ac:dyDescent="0.25">
      <c r="A93" s="6" t="s">
        <v>132</v>
      </c>
      <c r="B93" s="6" t="s">
        <v>133</v>
      </c>
      <c r="C93" s="11"/>
    </row>
    <row r="94" spans="1:7" s="12" customFormat="1" x14ac:dyDescent="0.25"/>
    <row r="95" spans="1:7" x14ac:dyDescent="0.25">
      <c r="A95" s="8" t="s">
        <v>8</v>
      </c>
      <c r="B95" s="9"/>
      <c r="C95" s="15"/>
      <c r="D95" s="9"/>
      <c r="E95" s="9"/>
      <c r="F95" s="9"/>
      <c r="G95" s="9"/>
    </row>
    <row r="96" spans="1:7" x14ac:dyDescent="0.25">
      <c r="A96" s="5" t="s">
        <v>9</v>
      </c>
      <c r="C96" s="12"/>
    </row>
    <row r="97" spans="1:3" x14ac:dyDescent="0.25">
      <c r="A97" s="5" t="s">
        <v>10</v>
      </c>
      <c r="C97" s="12"/>
    </row>
    <row r="98" spans="1:3" x14ac:dyDescent="0.25">
      <c r="A98" s="5" t="s">
        <v>11</v>
      </c>
      <c r="C98" s="12"/>
    </row>
    <row r="99" spans="1:3" x14ac:dyDescent="0.25">
      <c r="A99" s="5" t="s">
        <v>12</v>
      </c>
      <c r="C99" s="12"/>
    </row>
    <row r="100" spans="1:3" x14ac:dyDescent="0.25">
      <c r="A100" s="5" t="s">
        <v>13</v>
      </c>
      <c r="C100" s="12"/>
    </row>
    <row r="101" spans="1:3" x14ac:dyDescent="0.25">
      <c r="C101" s="12"/>
    </row>
    <row r="102" spans="1:3" x14ac:dyDescent="0.25">
      <c r="C102" s="12"/>
    </row>
    <row r="103" spans="1:3" x14ac:dyDescent="0.25">
      <c r="C103" s="12"/>
    </row>
    <row r="104" spans="1:3" x14ac:dyDescent="0.25">
      <c r="C104" s="12"/>
    </row>
    <row r="105" spans="1:3" x14ac:dyDescent="0.25">
      <c r="C105" s="12"/>
    </row>
    <row r="106" spans="1:3" x14ac:dyDescent="0.25">
      <c r="C106" s="12"/>
    </row>
    <row r="107" spans="1:3" x14ac:dyDescent="0.25">
      <c r="C107" s="12"/>
    </row>
    <row r="108" spans="1:3" x14ac:dyDescent="0.25">
      <c r="C108" s="12"/>
    </row>
    <row r="109" spans="1:3" x14ac:dyDescent="0.25">
      <c r="C109" s="12"/>
    </row>
    <row r="110" spans="1:3" x14ac:dyDescent="0.25">
      <c r="C110" s="12"/>
    </row>
    <row r="111" spans="1:3" x14ac:dyDescent="0.25">
      <c r="C111" s="12"/>
    </row>
    <row r="112" spans="1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12">
    <mergeCell ref="B1:G1"/>
    <mergeCell ref="D2:G2"/>
    <mergeCell ref="C7:C8"/>
    <mergeCell ref="D7:D8"/>
    <mergeCell ref="E7:E8"/>
    <mergeCell ref="F7:F8"/>
    <mergeCell ref="G7:G8"/>
    <mergeCell ref="I2:L2"/>
    <mergeCell ref="I7:I8"/>
    <mergeCell ref="J7:J8"/>
    <mergeCell ref="K7:K8"/>
    <mergeCell ref="L7:L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opLeftCell="A59" zoomScaleNormal="100" workbookViewId="0">
      <selection activeCell="A48" sqref="A48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  <col min="9" max="9" width="16.125" customWidth="1"/>
    <col min="10" max="10" width="18.375" customWidth="1"/>
    <col min="11" max="12" width="15.875" customWidth="1"/>
  </cols>
  <sheetData>
    <row r="1" spans="1:12" x14ac:dyDescent="0.25">
      <c r="A1" s="19" t="s">
        <v>14</v>
      </c>
      <c r="B1" s="106" t="s">
        <v>173</v>
      </c>
      <c r="C1" s="106"/>
      <c r="D1" s="106"/>
      <c r="E1" s="106"/>
      <c r="F1" s="106"/>
      <c r="G1" s="106"/>
      <c r="H1" t="s">
        <v>174</v>
      </c>
      <c r="I1">
        <f>AVERAGE(D80:G92)</f>
        <v>3.7307692307692308</v>
      </c>
      <c r="J1" t="s">
        <v>175</v>
      </c>
      <c r="K1">
        <f>_xlfn.STDEV.S(D80:G92)</f>
        <v>1.0867361570837346</v>
      </c>
    </row>
    <row r="2" spans="1:12" x14ac:dyDescent="0.25">
      <c r="D2" s="107" t="s">
        <v>16</v>
      </c>
      <c r="E2" s="107"/>
      <c r="F2" s="107"/>
      <c r="G2" s="107"/>
      <c r="I2" s="108" t="s">
        <v>213</v>
      </c>
      <c r="J2" s="108"/>
      <c r="K2" s="108"/>
      <c r="L2" s="108"/>
    </row>
    <row r="3" spans="1:12" s="2" customFormat="1" ht="18.75" x14ac:dyDescent="0.3">
      <c r="A3" s="3" t="s">
        <v>3</v>
      </c>
      <c r="B3" s="3" t="s">
        <v>4</v>
      </c>
      <c r="C3" s="3" t="s">
        <v>17</v>
      </c>
      <c r="D3" s="3" t="s">
        <v>15</v>
      </c>
      <c r="E3" s="3" t="s">
        <v>7</v>
      </c>
      <c r="F3" s="3" t="s">
        <v>5</v>
      </c>
      <c r="G3" s="3" t="s">
        <v>6</v>
      </c>
      <c r="I3" s="2" t="str">
        <f>D3</f>
        <v>Актуальность темы</v>
      </c>
      <c r="J3" s="2" t="str">
        <f t="shared" ref="J3:L3" si="0">E3</f>
        <v>Научная состовляющая</v>
      </c>
      <c r="K3" s="2" t="str">
        <f t="shared" si="0"/>
        <v>Доступность изложения</v>
      </c>
      <c r="L3" s="2" t="str">
        <f t="shared" si="0"/>
        <v>Авторский стиль</v>
      </c>
    </row>
    <row r="4" spans="1:12" s="2" customFormat="1" ht="18.75" x14ac:dyDescent="0.3">
      <c r="A4" s="4"/>
      <c r="B4" s="4"/>
      <c r="C4" s="20"/>
      <c r="D4" s="4"/>
      <c r="E4" s="4"/>
      <c r="F4" s="4"/>
      <c r="G4" s="4"/>
    </row>
    <row r="5" spans="1:12" s="21" customFormat="1" x14ac:dyDescent="0.25">
      <c r="A5" s="19" t="s">
        <v>0</v>
      </c>
    </row>
    <row r="6" spans="1:12" s="21" customFormat="1" x14ac:dyDescent="0.25">
      <c r="A6" s="13" t="s">
        <v>21</v>
      </c>
      <c r="B6" s="6" t="s">
        <v>22</v>
      </c>
      <c r="C6" s="22"/>
    </row>
    <row r="7" spans="1:12" s="21" customFormat="1" x14ac:dyDescent="0.25">
      <c r="A7" s="23" t="s">
        <v>31</v>
      </c>
      <c r="B7" s="6" t="s">
        <v>32</v>
      </c>
      <c r="C7" s="22"/>
    </row>
    <row r="8" spans="1:12" s="21" customFormat="1" x14ac:dyDescent="0.25">
      <c r="A8" s="13" t="s">
        <v>33</v>
      </c>
      <c r="B8" s="6" t="s">
        <v>32</v>
      </c>
      <c r="C8" s="22"/>
    </row>
    <row r="9" spans="1:12" s="21" customFormat="1" x14ac:dyDescent="0.25">
      <c r="A9" s="13" t="s">
        <v>36</v>
      </c>
      <c r="B9" s="6" t="s">
        <v>37</v>
      </c>
      <c r="C9" s="22"/>
    </row>
    <row r="10" spans="1:12" s="21" customFormat="1" x14ac:dyDescent="0.25">
      <c r="A10" s="13" t="s">
        <v>38</v>
      </c>
      <c r="B10" s="6" t="s">
        <v>39</v>
      </c>
      <c r="C10" s="22"/>
    </row>
    <row r="11" spans="1:12" s="21" customFormat="1" x14ac:dyDescent="0.25">
      <c r="A11" s="13" t="s">
        <v>42</v>
      </c>
      <c r="B11" s="6" t="s">
        <v>43</v>
      </c>
      <c r="C11" s="22"/>
    </row>
    <row r="12" spans="1:12" s="21" customFormat="1" x14ac:dyDescent="0.25">
      <c r="A12" s="13" t="s">
        <v>44</v>
      </c>
      <c r="B12" s="6" t="s">
        <v>45</v>
      </c>
      <c r="C12" s="22"/>
    </row>
    <row r="13" spans="1:12" s="21" customFormat="1" x14ac:dyDescent="0.25">
      <c r="A13" s="13" t="s">
        <v>50</v>
      </c>
      <c r="B13" s="6" t="s">
        <v>51</v>
      </c>
      <c r="C13" s="22"/>
    </row>
    <row r="14" spans="1:12" s="21" customFormat="1" x14ac:dyDescent="0.25">
      <c r="A14" s="13" t="s">
        <v>54</v>
      </c>
      <c r="B14" s="6" t="s">
        <v>55</v>
      </c>
      <c r="C14" s="22"/>
    </row>
    <row r="15" spans="1:12" s="21" customFormat="1" x14ac:dyDescent="0.25">
      <c r="A15" s="13" t="s">
        <v>56</v>
      </c>
      <c r="B15" s="6" t="s">
        <v>57</v>
      </c>
      <c r="C15" s="22"/>
    </row>
    <row r="16" spans="1:12" x14ac:dyDescent="0.25">
      <c r="A16" s="13" t="s">
        <v>60</v>
      </c>
      <c r="B16" s="6" t="s">
        <v>61</v>
      </c>
      <c r="C16" s="21"/>
    </row>
    <row r="17" spans="1:3" s="21" customFormat="1" x14ac:dyDescent="0.25">
      <c r="A17" s="13" t="s">
        <v>70</v>
      </c>
      <c r="B17" s="6" t="s">
        <v>71</v>
      </c>
      <c r="C17" s="22"/>
    </row>
    <row r="18" spans="1:3" s="21" customFormat="1" x14ac:dyDescent="0.25">
      <c r="A18" s="13" t="s">
        <v>78</v>
      </c>
      <c r="B18" s="6" t="s">
        <v>53</v>
      </c>
      <c r="C18" s="22"/>
    </row>
    <row r="19" spans="1:3" s="21" customFormat="1" x14ac:dyDescent="0.25">
      <c r="A19" s="13" t="s">
        <v>79</v>
      </c>
      <c r="B19" s="6" t="s">
        <v>80</v>
      </c>
      <c r="C19" s="22"/>
    </row>
    <row r="20" spans="1:3" s="21" customFormat="1" x14ac:dyDescent="0.25">
      <c r="A20" s="13" t="s">
        <v>81</v>
      </c>
      <c r="B20" s="6" t="s">
        <v>82</v>
      </c>
      <c r="C20" s="22"/>
    </row>
    <row r="21" spans="1:3" s="21" customFormat="1" x14ac:dyDescent="0.25">
      <c r="A21" s="13" t="s">
        <v>85</v>
      </c>
      <c r="B21" s="6" t="s">
        <v>86</v>
      </c>
      <c r="C21" s="22"/>
    </row>
    <row r="22" spans="1:3" s="21" customFormat="1" x14ac:dyDescent="0.25">
      <c r="A22" s="13" t="s">
        <v>97</v>
      </c>
      <c r="B22" s="6" t="s">
        <v>98</v>
      </c>
      <c r="C22" s="22"/>
    </row>
    <row r="23" spans="1:3" s="21" customFormat="1" x14ac:dyDescent="0.25">
      <c r="A23" s="13" t="s">
        <v>101</v>
      </c>
      <c r="B23" s="6" t="s">
        <v>102</v>
      </c>
      <c r="C23" s="22"/>
    </row>
    <row r="24" spans="1:3" s="21" customFormat="1" x14ac:dyDescent="0.25">
      <c r="A24" s="13" t="s">
        <v>107</v>
      </c>
      <c r="B24" s="6" t="s">
        <v>108</v>
      </c>
      <c r="C24" s="22"/>
    </row>
    <row r="25" spans="1:3" s="21" customFormat="1" x14ac:dyDescent="0.25">
      <c r="A25" s="13" t="s">
        <v>109</v>
      </c>
      <c r="B25" s="6" t="s">
        <v>110</v>
      </c>
      <c r="C25" s="22"/>
    </row>
    <row r="26" spans="1:3" s="21" customFormat="1" x14ac:dyDescent="0.25">
      <c r="A26" s="13" t="s">
        <v>111</v>
      </c>
      <c r="B26" s="6" t="s">
        <v>112</v>
      </c>
      <c r="C26" s="22"/>
    </row>
    <row r="27" spans="1:3" s="21" customFormat="1" x14ac:dyDescent="0.25">
      <c r="A27" s="13" t="s">
        <v>121</v>
      </c>
      <c r="B27" s="6" t="s">
        <v>122</v>
      </c>
      <c r="C27" s="22"/>
    </row>
    <row r="28" spans="1:3" s="21" customFormat="1" x14ac:dyDescent="0.25">
      <c r="A28" s="13" t="s">
        <v>123</v>
      </c>
      <c r="B28" s="6" t="s">
        <v>124</v>
      </c>
      <c r="C28" s="22"/>
    </row>
    <row r="29" spans="1:3" s="21" customFormat="1" x14ac:dyDescent="0.25">
      <c r="A29" s="6" t="s">
        <v>134</v>
      </c>
      <c r="B29" s="6" t="s">
        <v>135</v>
      </c>
      <c r="C29" s="22"/>
    </row>
    <row r="30" spans="1:3" s="21" customFormat="1" x14ac:dyDescent="0.25">
      <c r="A30" s="6" t="s">
        <v>145</v>
      </c>
      <c r="B30" s="6" t="s">
        <v>146</v>
      </c>
      <c r="C30" s="24">
        <v>42345</v>
      </c>
    </row>
    <row r="31" spans="1:3" s="21" customFormat="1" x14ac:dyDescent="0.25">
      <c r="A31" s="6" t="s">
        <v>153</v>
      </c>
      <c r="B31" s="6" t="s">
        <v>154</v>
      </c>
      <c r="C31" s="24">
        <v>42340</v>
      </c>
    </row>
    <row r="32" spans="1:3" s="21" customFormat="1" x14ac:dyDescent="0.25">
      <c r="A32" s="6" t="s">
        <v>163</v>
      </c>
      <c r="B32" s="6" t="s">
        <v>162</v>
      </c>
      <c r="C32" s="24">
        <v>42343</v>
      </c>
    </row>
    <row r="33" spans="1:3" s="21" customFormat="1" x14ac:dyDescent="0.25">
      <c r="A33" s="6" t="s">
        <v>166</v>
      </c>
      <c r="B33" s="6" t="s">
        <v>167</v>
      </c>
      <c r="C33" s="24">
        <v>42350</v>
      </c>
    </row>
    <row r="34" spans="1:3" s="21" customFormat="1" x14ac:dyDescent="0.25">
      <c r="A34" s="6" t="s">
        <v>164</v>
      </c>
      <c r="B34" s="6" t="s">
        <v>165</v>
      </c>
      <c r="C34" s="24">
        <v>42351</v>
      </c>
    </row>
    <row r="35" spans="1:3" s="21" customFormat="1" x14ac:dyDescent="0.25">
      <c r="B35" s="25"/>
      <c r="C35" s="25"/>
    </row>
    <row r="36" spans="1:3" s="21" customFormat="1" x14ac:dyDescent="0.25">
      <c r="A36" s="19" t="s">
        <v>1</v>
      </c>
      <c r="B36" s="25"/>
      <c r="C36" s="25"/>
    </row>
    <row r="37" spans="1:3" s="21" customFormat="1" x14ac:dyDescent="0.25">
      <c r="A37" s="13" t="s">
        <v>23</v>
      </c>
      <c r="B37" s="6" t="s">
        <v>24</v>
      </c>
      <c r="C37" s="22"/>
    </row>
    <row r="38" spans="1:3" s="21" customFormat="1" x14ac:dyDescent="0.25">
      <c r="A38" s="13" t="s">
        <v>25</v>
      </c>
      <c r="B38" s="6" t="s">
        <v>26</v>
      </c>
      <c r="C38" s="22"/>
    </row>
    <row r="39" spans="1:3" s="21" customFormat="1" x14ac:dyDescent="0.25">
      <c r="A39" s="13" t="s">
        <v>27</v>
      </c>
      <c r="B39" s="6" t="s">
        <v>28</v>
      </c>
      <c r="C39" s="22"/>
    </row>
    <row r="40" spans="1:3" s="21" customFormat="1" ht="31.5" x14ac:dyDescent="0.25">
      <c r="A40" s="13" t="s">
        <v>48</v>
      </c>
      <c r="B40" s="6" t="s">
        <v>49</v>
      </c>
      <c r="C40" s="22"/>
    </row>
    <row r="41" spans="1:3" s="21" customFormat="1" x14ac:dyDescent="0.25">
      <c r="A41" s="13" t="s">
        <v>76</v>
      </c>
      <c r="B41" s="6" t="s">
        <v>77</v>
      </c>
      <c r="C41" s="22"/>
    </row>
    <row r="42" spans="1:3" s="21" customFormat="1" x14ac:dyDescent="0.25">
      <c r="A42" s="13" t="s">
        <v>91</v>
      </c>
      <c r="B42" s="6" t="s">
        <v>92</v>
      </c>
      <c r="C42" s="22"/>
    </row>
    <row r="43" spans="1:3" s="21" customFormat="1" x14ac:dyDescent="0.25">
      <c r="A43" s="13" t="s">
        <v>95</v>
      </c>
      <c r="B43" s="6" t="s">
        <v>96</v>
      </c>
      <c r="C43" s="22"/>
    </row>
    <row r="44" spans="1:3" s="21" customFormat="1" x14ac:dyDescent="0.25">
      <c r="A44" s="13" t="s">
        <v>115</v>
      </c>
      <c r="B44" s="6" t="s">
        <v>116</v>
      </c>
      <c r="C44" s="22"/>
    </row>
    <row r="45" spans="1:3" s="21" customFormat="1" x14ac:dyDescent="0.25">
      <c r="A45" s="13" t="s">
        <v>117</v>
      </c>
      <c r="B45" s="6" t="s">
        <v>118</v>
      </c>
      <c r="C45" s="22"/>
    </row>
    <row r="46" spans="1:3" s="21" customFormat="1" x14ac:dyDescent="0.25">
      <c r="A46" s="6" t="s">
        <v>136</v>
      </c>
      <c r="B46" s="6" t="s">
        <v>137</v>
      </c>
      <c r="C46" s="24">
        <v>42340</v>
      </c>
    </row>
    <row r="47" spans="1:3" s="21" customFormat="1" x14ac:dyDescent="0.25">
      <c r="A47" s="6"/>
      <c r="B47" s="6"/>
    </row>
    <row r="48" spans="1:3" s="21" customFormat="1" x14ac:dyDescent="0.25">
      <c r="A48" s="19" t="s">
        <v>2</v>
      </c>
      <c r="B48" s="25"/>
      <c r="C48" s="25"/>
    </row>
    <row r="49" spans="1:3" s="21" customFormat="1" x14ac:dyDescent="0.25">
      <c r="A49" s="13" t="s">
        <v>40</v>
      </c>
      <c r="B49" s="6" t="s">
        <v>41</v>
      </c>
      <c r="C49" s="22"/>
    </row>
    <row r="50" spans="1:3" s="21" customFormat="1" x14ac:dyDescent="0.25">
      <c r="A50" s="13" t="s">
        <v>64</v>
      </c>
      <c r="B50" s="6" t="s">
        <v>65</v>
      </c>
      <c r="C50" s="22"/>
    </row>
    <row r="51" spans="1:3" s="21" customFormat="1" x14ac:dyDescent="0.25">
      <c r="A51" s="13" t="s">
        <v>99</v>
      </c>
      <c r="B51" s="6" t="s">
        <v>100</v>
      </c>
      <c r="C51" s="22"/>
    </row>
    <row r="52" spans="1:3" s="21" customFormat="1" x14ac:dyDescent="0.25">
      <c r="A52" s="13" t="s">
        <v>103</v>
      </c>
      <c r="B52" s="6" t="s">
        <v>104</v>
      </c>
      <c r="C52" s="22"/>
    </row>
    <row r="53" spans="1:3" s="21" customFormat="1" ht="31.5" x14ac:dyDescent="0.25">
      <c r="A53" s="13" t="s">
        <v>113</v>
      </c>
      <c r="B53" s="6" t="s">
        <v>114</v>
      </c>
      <c r="C53" s="22"/>
    </row>
    <row r="54" spans="1:3" s="21" customFormat="1" ht="31.5" x14ac:dyDescent="0.25">
      <c r="A54" s="13" t="s">
        <v>119</v>
      </c>
      <c r="B54" s="6" t="s">
        <v>120</v>
      </c>
      <c r="C54" s="22"/>
    </row>
    <row r="55" spans="1:3" s="21" customFormat="1" x14ac:dyDescent="0.25">
      <c r="A55" s="6" t="s">
        <v>161</v>
      </c>
      <c r="B55" s="6" t="s">
        <v>162</v>
      </c>
      <c r="C55" s="24">
        <v>42344</v>
      </c>
    </row>
    <row r="56" spans="1:3" s="21" customFormat="1" x14ac:dyDescent="0.25"/>
    <row r="57" spans="1:3" s="21" customFormat="1" x14ac:dyDescent="0.25">
      <c r="A57" s="19" t="s">
        <v>18</v>
      </c>
      <c r="B57" s="25"/>
      <c r="C57" s="25"/>
    </row>
    <row r="58" spans="1:3" s="21" customFormat="1" ht="31.5" x14ac:dyDescent="0.25">
      <c r="A58" s="13" t="s">
        <v>29</v>
      </c>
      <c r="B58" s="6" t="s">
        <v>30</v>
      </c>
      <c r="C58" s="22"/>
    </row>
    <row r="59" spans="1:3" s="21" customFormat="1" x14ac:dyDescent="0.25">
      <c r="A59" s="13" t="s">
        <v>66</v>
      </c>
      <c r="B59" s="6" t="s">
        <v>24</v>
      </c>
      <c r="C59" s="22"/>
    </row>
    <row r="60" spans="1:3" s="21" customFormat="1" x14ac:dyDescent="0.25">
      <c r="A60" s="13" t="s">
        <v>67</v>
      </c>
      <c r="B60" s="6" t="s">
        <v>55</v>
      </c>
      <c r="C60" s="22"/>
    </row>
    <row r="61" spans="1:3" s="21" customFormat="1" x14ac:dyDescent="0.25">
      <c r="A61" s="13" t="s">
        <v>89</v>
      </c>
      <c r="B61" s="6" t="s">
        <v>90</v>
      </c>
      <c r="C61" s="22"/>
    </row>
    <row r="62" spans="1:3" s="21" customFormat="1" x14ac:dyDescent="0.25">
      <c r="A62" s="13" t="s">
        <v>125</v>
      </c>
      <c r="B62" s="6" t="s">
        <v>126</v>
      </c>
      <c r="C62" s="22"/>
    </row>
    <row r="63" spans="1:3" s="21" customFormat="1" x14ac:dyDescent="0.25">
      <c r="A63" s="13" t="s">
        <v>127</v>
      </c>
      <c r="B63" s="6" t="s">
        <v>128</v>
      </c>
      <c r="C63" s="22"/>
    </row>
    <row r="64" spans="1:3" s="21" customFormat="1" x14ac:dyDescent="0.25">
      <c r="A64" s="13" t="s">
        <v>129</v>
      </c>
      <c r="B64" s="6" t="s">
        <v>130</v>
      </c>
      <c r="C64" s="22"/>
    </row>
    <row r="65" spans="1:12" s="21" customFormat="1" x14ac:dyDescent="0.25">
      <c r="A65" s="6" t="s">
        <v>138</v>
      </c>
      <c r="B65" s="6" t="s">
        <v>139</v>
      </c>
      <c r="C65" s="24">
        <v>42349</v>
      </c>
    </row>
    <row r="66" spans="1:12" s="21" customFormat="1" x14ac:dyDescent="0.25">
      <c r="A66" s="6" t="s">
        <v>140</v>
      </c>
      <c r="B66" s="6" t="s">
        <v>141</v>
      </c>
      <c r="C66" s="22"/>
    </row>
    <row r="67" spans="1:12" s="21" customFormat="1" x14ac:dyDescent="0.25">
      <c r="A67" s="6" t="s">
        <v>151</v>
      </c>
      <c r="B67" s="6" t="s">
        <v>152</v>
      </c>
      <c r="C67" s="24">
        <v>42341</v>
      </c>
    </row>
    <row r="68" spans="1:12" s="21" customFormat="1" x14ac:dyDescent="0.25">
      <c r="A68" s="6" t="s">
        <v>157</v>
      </c>
      <c r="B68" s="6" t="s">
        <v>158</v>
      </c>
      <c r="C68" s="24">
        <v>42341</v>
      </c>
    </row>
    <row r="69" spans="1:12" s="21" customFormat="1" x14ac:dyDescent="0.25">
      <c r="A69" s="6" t="s">
        <v>159</v>
      </c>
      <c r="B69" s="6" t="s">
        <v>160</v>
      </c>
      <c r="C69" s="24">
        <v>42346</v>
      </c>
    </row>
    <row r="70" spans="1:12" s="21" customFormat="1" x14ac:dyDescent="0.25">
      <c r="A70" s="6"/>
      <c r="B70" s="6"/>
      <c r="C70" s="22"/>
    </row>
    <row r="71" spans="1:12" s="21" customFormat="1" x14ac:dyDescent="0.25">
      <c r="A71" s="19" t="s">
        <v>19</v>
      </c>
      <c r="B71" s="22"/>
      <c r="C71" s="22"/>
    </row>
    <row r="72" spans="1:12" s="21" customFormat="1" x14ac:dyDescent="0.25">
      <c r="A72" s="13" t="s">
        <v>46</v>
      </c>
      <c r="B72" s="6" t="s">
        <v>47</v>
      </c>
      <c r="C72" s="22"/>
    </row>
    <row r="73" spans="1:12" s="21" customFormat="1" x14ac:dyDescent="0.25">
      <c r="A73" s="6" t="s">
        <v>142</v>
      </c>
      <c r="B73" s="6" t="s">
        <v>143</v>
      </c>
      <c r="C73" s="24">
        <v>42342</v>
      </c>
    </row>
    <row r="74" spans="1:12" s="21" customFormat="1" x14ac:dyDescent="0.25">
      <c r="A74" s="6" t="s">
        <v>144</v>
      </c>
      <c r="B74" s="6" t="s">
        <v>55</v>
      </c>
      <c r="C74" s="24">
        <v>42344</v>
      </c>
    </row>
    <row r="75" spans="1:12" s="21" customFormat="1" x14ac:dyDescent="0.25">
      <c r="A75" s="6" t="s">
        <v>147</v>
      </c>
      <c r="B75" s="6" t="s">
        <v>148</v>
      </c>
      <c r="C75" s="24">
        <v>42347</v>
      </c>
    </row>
    <row r="76" spans="1:12" s="21" customFormat="1" x14ac:dyDescent="0.25">
      <c r="A76" s="6" t="s">
        <v>149</v>
      </c>
      <c r="B76" s="6" t="s">
        <v>150</v>
      </c>
      <c r="C76" s="24">
        <v>42346</v>
      </c>
    </row>
    <row r="77" spans="1:12" s="21" customFormat="1" x14ac:dyDescent="0.25">
      <c r="A77" s="6" t="s">
        <v>155</v>
      </c>
      <c r="B77" s="6" t="s">
        <v>156</v>
      </c>
      <c r="C77" s="24">
        <v>42348</v>
      </c>
    </row>
    <row r="78" spans="1:12" s="21" customFormat="1" x14ac:dyDescent="0.25">
      <c r="A78" s="22"/>
      <c r="B78" s="22"/>
      <c r="C78" s="22"/>
    </row>
    <row r="79" spans="1:12" s="21" customFormat="1" x14ac:dyDescent="0.25">
      <c r="A79" s="19" t="s">
        <v>20</v>
      </c>
      <c r="B79" s="22"/>
      <c r="C79" s="22"/>
    </row>
    <row r="80" spans="1:12" s="21" customFormat="1" x14ac:dyDescent="0.25">
      <c r="A80" s="13" t="s">
        <v>34</v>
      </c>
      <c r="B80" s="6" t="s">
        <v>35</v>
      </c>
      <c r="C80" s="22"/>
      <c r="D80" s="21">
        <v>4</v>
      </c>
      <c r="E80" s="21">
        <v>5</v>
      </c>
      <c r="F80" s="21">
        <v>4</v>
      </c>
      <c r="G80" s="21">
        <v>3</v>
      </c>
      <c r="I80" s="21">
        <f>STANDARDIZE(D80,$I$1,$K$1)</f>
        <v>0.24774253389456752</v>
      </c>
      <c r="J80" s="21">
        <f t="shared" ref="J80:L80" si="1">STANDARDIZE(E80,$I$1,$K$1)</f>
        <v>1.1679290883601041</v>
      </c>
      <c r="K80" s="21">
        <f t="shared" si="1"/>
        <v>0.24774253389456752</v>
      </c>
      <c r="L80" s="21">
        <f t="shared" si="1"/>
        <v>-0.67244402057096919</v>
      </c>
    </row>
    <row r="81" spans="1:12" s="21" customFormat="1" x14ac:dyDescent="0.25">
      <c r="A81" s="13" t="s">
        <v>52</v>
      </c>
      <c r="B81" s="6" t="s">
        <v>53</v>
      </c>
      <c r="C81" s="22"/>
      <c r="D81" s="21">
        <v>4</v>
      </c>
      <c r="E81" s="21">
        <v>3</v>
      </c>
      <c r="F81" s="21">
        <v>5</v>
      </c>
      <c r="G81" s="21">
        <v>4</v>
      </c>
      <c r="I81" s="21">
        <f t="shared" ref="I81:I92" si="2">STANDARDIZE(D81,$I$1,$K$1)</f>
        <v>0.24774253389456752</v>
      </c>
      <c r="J81" s="21">
        <f t="shared" ref="J81:J92" si="3">STANDARDIZE(E81,$I$1,$K$1)</f>
        <v>-0.67244402057096919</v>
      </c>
      <c r="K81" s="21">
        <f t="shared" ref="K81:K92" si="4">STANDARDIZE(F81,$I$1,$K$1)</f>
        <v>1.1679290883601041</v>
      </c>
      <c r="L81" s="21">
        <f t="shared" ref="L81:L92" si="5">STANDARDIZE(G81,$I$1,$K$1)</f>
        <v>0.24774253389456752</v>
      </c>
    </row>
    <row r="82" spans="1:12" s="21" customFormat="1" x14ac:dyDescent="0.25">
      <c r="A82" s="13" t="s">
        <v>58</v>
      </c>
      <c r="B82" s="6" t="s">
        <v>59</v>
      </c>
      <c r="C82" s="22"/>
      <c r="D82" s="21">
        <v>2</v>
      </c>
      <c r="E82" s="21">
        <v>1</v>
      </c>
      <c r="F82" s="21">
        <v>5</v>
      </c>
      <c r="G82" s="21">
        <v>4</v>
      </c>
      <c r="I82" s="21">
        <f t="shared" si="2"/>
        <v>-1.592630575036506</v>
      </c>
      <c r="J82" s="21">
        <f t="shared" si="3"/>
        <v>-2.5128171295020425</v>
      </c>
      <c r="K82" s="21">
        <f t="shared" si="4"/>
        <v>1.1679290883601041</v>
      </c>
      <c r="L82" s="21">
        <f t="shared" si="5"/>
        <v>0.24774253389456752</v>
      </c>
    </row>
    <row r="83" spans="1:12" s="21" customFormat="1" x14ac:dyDescent="0.25">
      <c r="A83" s="13" t="s">
        <v>62</v>
      </c>
      <c r="B83" s="6" t="s">
        <v>63</v>
      </c>
      <c r="C83" s="22"/>
      <c r="D83" s="21">
        <v>2</v>
      </c>
      <c r="E83" s="21">
        <v>4</v>
      </c>
      <c r="F83" s="21">
        <v>1</v>
      </c>
      <c r="G83" s="21">
        <v>4</v>
      </c>
      <c r="I83" s="21">
        <f t="shared" si="2"/>
        <v>-1.592630575036506</v>
      </c>
      <c r="J83" s="21">
        <f t="shared" si="3"/>
        <v>0.24774253389456752</v>
      </c>
      <c r="K83" s="21">
        <f t="shared" si="4"/>
        <v>-2.5128171295020425</v>
      </c>
      <c r="L83" s="21">
        <f t="shared" si="5"/>
        <v>0.24774253389456752</v>
      </c>
    </row>
    <row r="84" spans="1:12" s="21" customFormat="1" x14ac:dyDescent="0.25">
      <c r="A84" s="13" t="s">
        <v>68</v>
      </c>
      <c r="B84" s="6" t="s">
        <v>69</v>
      </c>
      <c r="C84" s="22"/>
      <c r="D84" s="21">
        <v>3</v>
      </c>
      <c r="E84" s="21">
        <v>2</v>
      </c>
      <c r="F84" s="21">
        <v>4</v>
      </c>
      <c r="G84" s="21">
        <v>3</v>
      </c>
      <c r="I84" s="21">
        <f t="shared" si="2"/>
        <v>-0.67244402057096919</v>
      </c>
      <c r="J84" s="21">
        <f t="shared" si="3"/>
        <v>-1.592630575036506</v>
      </c>
      <c r="K84" s="21">
        <f t="shared" si="4"/>
        <v>0.24774253389456752</v>
      </c>
      <c r="L84" s="21">
        <f t="shared" si="5"/>
        <v>-0.67244402057096919</v>
      </c>
    </row>
    <row r="85" spans="1:12" s="21" customFormat="1" x14ac:dyDescent="0.25">
      <c r="A85" s="13" t="s">
        <v>72</v>
      </c>
      <c r="B85" s="6" t="s">
        <v>73</v>
      </c>
      <c r="C85" s="22"/>
      <c r="D85" s="21">
        <v>4</v>
      </c>
      <c r="E85" s="21">
        <v>4</v>
      </c>
      <c r="F85" s="21">
        <v>5</v>
      </c>
      <c r="G85" s="21">
        <v>5</v>
      </c>
      <c r="I85" s="21">
        <f t="shared" si="2"/>
        <v>0.24774253389456752</v>
      </c>
      <c r="J85" s="21">
        <f t="shared" si="3"/>
        <v>0.24774253389456752</v>
      </c>
      <c r="K85" s="21">
        <f t="shared" si="4"/>
        <v>1.1679290883601041</v>
      </c>
      <c r="L85" s="21">
        <f t="shared" si="5"/>
        <v>1.1679290883601041</v>
      </c>
    </row>
    <row r="86" spans="1:12" s="21" customFormat="1" x14ac:dyDescent="0.25">
      <c r="A86" s="13" t="s">
        <v>74</v>
      </c>
      <c r="B86" s="6" t="s">
        <v>75</v>
      </c>
      <c r="C86" s="22"/>
      <c r="D86" s="21">
        <v>3</v>
      </c>
      <c r="E86" s="21">
        <v>3</v>
      </c>
      <c r="F86" s="21">
        <v>5</v>
      </c>
      <c r="G86" s="21">
        <v>4</v>
      </c>
      <c r="I86" s="21">
        <f t="shared" si="2"/>
        <v>-0.67244402057096919</v>
      </c>
      <c r="J86" s="21">
        <f t="shared" si="3"/>
        <v>-0.67244402057096919</v>
      </c>
      <c r="K86" s="21">
        <f t="shared" si="4"/>
        <v>1.1679290883601041</v>
      </c>
      <c r="L86" s="21">
        <f t="shared" si="5"/>
        <v>0.24774253389456752</v>
      </c>
    </row>
    <row r="87" spans="1:12" s="21" customFormat="1" x14ac:dyDescent="0.25">
      <c r="A87" s="13" t="s">
        <v>83</v>
      </c>
      <c r="B87" s="6" t="s">
        <v>84</v>
      </c>
      <c r="C87" s="22"/>
      <c r="D87" s="21">
        <v>3</v>
      </c>
      <c r="E87" s="21">
        <v>3</v>
      </c>
      <c r="F87" s="21">
        <v>5</v>
      </c>
      <c r="G87" s="21">
        <v>5</v>
      </c>
      <c r="I87" s="21">
        <f t="shared" si="2"/>
        <v>-0.67244402057096919</v>
      </c>
      <c r="J87" s="21">
        <f t="shared" si="3"/>
        <v>-0.67244402057096919</v>
      </c>
      <c r="K87" s="21">
        <f t="shared" si="4"/>
        <v>1.1679290883601041</v>
      </c>
      <c r="L87" s="21">
        <f t="shared" si="5"/>
        <v>1.1679290883601041</v>
      </c>
    </row>
    <row r="88" spans="1:12" s="21" customFormat="1" x14ac:dyDescent="0.25">
      <c r="A88" s="13" t="s">
        <v>87</v>
      </c>
      <c r="B88" s="6" t="s">
        <v>88</v>
      </c>
      <c r="C88" s="22"/>
      <c r="D88" s="21">
        <v>2</v>
      </c>
      <c r="E88" s="21">
        <v>4</v>
      </c>
      <c r="F88" s="21">
        <v>3</v>
      </c>
      <c r="G88" s="21">
        <v>2</v>
      </c>
      <c r="I88" s="21">
        <f t="shared" si="2"/>
        <v>-1.592630575036506</v>
      </c>
      <c r="J88" s="21">
        <f t="shared" si="3"/>
        <v>0.24774253389456752</v>
      </c>
      <c r="K88" s="21">
        <f t="shared" si="4"/>
        <v>-0.67244402057096919</v>
      </c>
      <c r="L88" s="21">
        <f t="shared" si="5"/>
        <v>-1.592630575036506</v>
      </c>
    </row>
    <row r="89" spans="1:12" s="21" customFormat="1" x14ac:dyDescent="0.25">
      <c r="A89" s="13" t="s">
        <v>93</v>
      </c>
      <c r="B89" s="6" t="s">
        <v>94</v>
      </c>
      <c r="C89" s="22"/>
      <c r="D89" s="21">
        <v>4</v>
      </c>
      <c r="E89" s="21">
        <v>5</v>
      </c>
      <c r="F89" s="21">
        <v>3</v>
      </c>
      <c r="G89" s="21">
        <v>5</v>
      </c>
      <c r="I89" s="21">
        <f t="shared" si="2"/>
        <v>0.24774253389456752</v>
      </c>
      <c r="J89" s="21">
        <f t="shared" si="3"/>
        <v>1.1679290883601041</v>
      </c>
      <c r="K89" s="21">
        <f t="shared" si="4"/>
        <v>-0.67244402057096919</v>
      </c>
      <c r="L89" s="21">
        <f t="shared" si="5"/>
        <v>1.1679290883601041</v>
      </c>
    </row>
    <row r="90" spans="1:12" s="21" customFormat="1" x14ac:dyDescent="0.25">
      <c r="A90" s="13" t="s">
        <v>105</v>
      </c>
      <c r="B90" s="6" t="s">
        <v>106</v>
      </c>
      <c r="C90" s="22"/>
      <c r="D90" s="21">
        <v>4</v>
      </c>
      <c r="E90" s="21">
        <v>4</v>
      </c>
      <c r="F90" s="21">
        <v>5</v>
      </c>
      <c r="G90" s="21">
        <v>5</v>
      </c>
      <c r="I90" s="21">
        <f t="shared" si="2"/>
        <v>0.24774253389456752</v>
      </c>
      <c r="J90" s="21">
        <f t="shared" si="3"/>
        <v>0.24774253389456752</v>
      </c>
      <c r="K90" s="21">
        <f t="shared" si="4"/>
        <v>1.1679290883601041</v>
      </c>
      <c r="L90" s="21">
        <f t="shared" si="5"/>
        <v>1.1679290883601041</v>
      </c>
    </row>
    <row r="91" spans="1:12" s="21" customFormat="1" x14ac:dyDescent="0.25">
      <c r="A91" s="6" t="s">
        <v>131</v>
      </c>
      <c r="B91" s="6" t="s">
        <v>57</v>
      </c>
      <c r="C91" s="22"/>
      <c r="D91" s="21">
        <v>3</v>
      </c>
      <c r="E91" s="21">
        <v>4</v>
      </c>
      <c r="F91" s="21">
        <v>4</v>
      </c>
      <c r="G91" s="21">
        <v>3</v>
      </c>
      <c r="I91" s="21">
        <f t="shared" si="2"/>
        <v>-0.67244402057096919</v>
      </c>
      <c r="J91" s="21">
        <f t="shared" si="3"/>
        <v>0.24774253389456752</v>
      </c>
      <c r="K91" s="21">
        <f t="shared" si="4"/>
        <v>0.24774253389456752</v>
      </c>
      <c r="L91" s="21">
        <f t="shared" si="5"/>
        <v>-0.67244402057096919</v>
      </c>
    </row>
    <row r="92" spans="1:12" s="21" customFormat="1" x14ac:dyDescent="0.25">
      <c r="A92" s="6" t="s">
        <v>132</v>
      </c>
      <c r="B92" s="6" t="s">
        <v>133</v>
      </c>
      <c r="C92" s="22"/>
      <c r="D92" s="21">
        <v>4</v>
      </c>
      <c r="E92" s="21">
        <v>4</v>
      </c>
      <c r="F92" s="21">
        <v>5</v>
      </c>
      <c r="G92" s="21">
        <v>5</v>
      </c>
      <c r="I92" s="21">
        <f t="shared" si="2"/>
        <v>0.24774253389456752</v>
      </c>
      <c r="J92" s="21">
        <f t="shared" si="3"/>
        <v>0.24774253389456752</v>
      </c>
      <c r="K92" s="21">
        <f t="shared" si="4"/>
        <v>1.1679290883601041</v>
      </c>
      <c r="L92" s="21">
        <f t="shared" si="5"/>
        <v>1.1679290883601041</v>
      </c>
    </row>
    <row r="93" spans="1:12" s="21" customFormat="1" x14ac:dyDescent="0.25"/>
    <row r="94" spans="1:12" x14ac:dyDescent="0.25">
      <c r="A94" s="8" t="s">
        <v>8</v>
      </c>
      <c r="B94" s="9"/>
      <c r="C94" s="26"/>
      <c r="D94" s="9"/>
      <c r="E94" s="9"/>
      <c r="F94" s="9"/>
      <c r="G94" s="9"/>
    </row>
    <row r="95" spans="1:12" x14ac:dyDescent="0.25">
      <c r="A95" s="5" t="s">
        <v>9</v>
      </c>
      <c r="C95" s="21"/>
    </row>
    <row r="96" spans="1:12" x14ac:dyDescent="0.25">
      <c r="A96" s="5" t="s">
        <v>10</v>
      </c>
      <c r="C96" s="21"/>
    </row>
    <row r="97" spans="1:3" x14ac:dyDescent="0.25">
      <c r="A97" s="5" t="s">
        <v>11</v>
      </c>
      <c r="C97" s="21"/>
    </row>
    <row r="98" spans="1:3" x14ac:dyDescent="0.25">
      <c r="A98" s="5" t="s">
        <v>12</v>
      </c>
      <c r="C98" s="21"/>
    </row>
    <row r="99" spans="1:3" x14ac:dyDescent="0.25">
      <c r="A99" s="5" t="s">
        <v>13</v>
      </c>
      <c r="C99" s="21"/>
    </row>
    <row r="100" spans="1:3" x14ac:dyDescent="0.25">
      <c r="C100" s="21"/>
    </row>
    <row r="101" spans="1:3" x14ac:dyDescent="0.25">
      <c r="C101" s="21"/>
    </row>
    <row r="102" spans="1:3" x14ac:dyDescent="0.25">
      <c r="C102" s="21"/>
    </row>
    <row r="103" spans="1:3" x14ac:dyDescent="0.25">
      <c r="C103" s="21"/>
    </row>
    <row r="104" spans="1:3" x14ac:dyDescent="0.25">
      <c r="C104" s="21"/>
    </row>
    <row r="105" spans="1:3" x14ac:dyDescent="0.25">
      <c r="C105" s="21"/>
    </row>
    <row r="106" spans="1:3" x14ac:dyDescent="0.25">
      <c r="C106" s="21"/>
    </row>
    <row r="107" spans="1:3" x14ac:dyDescent="0.25">
      <c r="C107" s="21"/>
    </row>
    <row r="108" spans="1:3" x14ac:dyDescent="0.25">
      <c r="C108" s="21"/>
    </row>
    <row r="109" spans="1:3" x14ac:dyDescent="0.25">
      <c r="C109" s="21"/>
    </row>
    <row r="110" spans="1:3" x14ac:dyDescent="0.25">
      <c r="C110" s="21"/>
    </row>
    <row r="111" spans="1:3" x14ac:dyDescent="0.25">
      <c r="C111" s="21"/>
    </row>
    <row r="112" spans="1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  <row r="200" spans="3:3" x14ac:dyDescent="0.25">
      <c r="C200" s="21"/>
    </row>
    <row r="201" spans="3:3" x14ac:dyDescent="0.25">
      <c r="C201" s="21"/>
    </row>
    <row r="202" spans="3:3" x14ac:dyDescent="0.25">
      <c r="C202" s="21"/>
    </row>
    <row r="203" spans="3:3" x14ac:dyDescent="0.25">
      <c r="C203" s="21"/>
    </row>
    <row r="204" spans="3:3" x14ac:dyDescent="0.25">
      <c r="C204" s="21"/>
    </row>
    <row r="205" spans="3:3" x14ac:dyDescent="0.25">
      <c r="C205" s="21"/>
    </row>
    <row r="206" spans="3:3" x14ac:dyDescent="0.25">
      <c r="C206" s="21"/>
    </row>
    <row r="207" spans="3:3" x14ac:dyDescent="0.25">
      <c r="C207" s="21"/>
    </row>
    <row r="208" spans="3:3" x14ac:dyDescent="0.25">
      <c r="C208" s="21"/>
    </row>
    <row r="209" spans="3:3" x14ac:dyDescent="0.25">
      <c r="C209" s="21"/>
    </row>
    <row r="210" spans="3:3" x14ac:dyDescent="0.25">
      <c r="C210" s="21"/>
    </row>
    <row r="211" spans="3:3" x14ac:dyDescent="0.25">
      <c r="C211" s="21"/>
    </row>
    <row r="212" spans="3:3" x14ac:dyDescent="0.25">
      <c r="C212" s="21"/>
    </row>
    <row r="213" spans="3:3" x14ac:dyDescent="0.25">
      <c r="C213" s="21"/>
    </row>
    <row r="214" spans="3:3" x14ac:dyDescent="0.25">
      <c r="C214" s="21"/>
    </row>
    <row r="215" spans="3:3" x14ac:dyDescent="0.25">
      <c r="C215" s="21"/>
    </row>
    <row r="216" spans="3:3" x14ac:dyDescent="0.25">
      <c r="C216" s="21"/>
    </row>
    <row r="217" spans="3:3" x14ac:dyDescent="0.25">
      <c r="C217" s="21"/>
    </row>
    <row r="218" spans="3:3" x14ac:dyDescent="0.25">
      <c r="C218" s="21"/>
    </row>
    <row r="219" spans="3:3" x14ac:dyDescent="0.25">
      <c r="C219" s="21"/>
    </row>
    <row r="220" spans="3:3" x14ac:dyDescent="0.25">
      <c r="C220" s="21"/>
    </row>
    <row r="221" spans="3:3" x14ac:dyDescent="0.25">
      <c r="C221" s="21"/>
    </row>
    <row r="222" spans="3:3" x14ac:dyDescent="0.25">
      <c r="C222" s="21"/>
    </row>
    <row r="223" spans="3:3" x14ac:dyDescent="0.25">
      <c r="C223" s="21"/>
    </row>
    <row r="224" spans="3:3" x14ac:dyDescent="0.25">
      <c r="C224" s="21"/>
    </row>
    <row r="225" spans="3:3" x14ac:dyDescent="0.25">
      <c r="C225" s="21"/>
    </row>
    <row r="226" spans="3:3" x14ac:dyDescent="0.25">
      <c r="C226" s="21"/>
    </row>
    <row r="227" spans="3:3" x14ac:dyDescent="0.25">
      <c r="C227" s="21"/>
    </row>
    <row r="228" spans="3:3" x14ac:dyDescent="0.25">
      <c r="C228" s="21"/>
    </row>
    <row r="229" spans="3:3" x14ac:dyDescent="0.25">
      <c r="C229" s="21"/>
    </row>
    <row r="230" spans="3:3" x14ac:dyDescent="0.25">
      <c r="C230" s="21"/>
    </row>
    <row r="231" spans="3:3" x14ac:dyDescent="0.25">
      <c r="C231" s="21"/>
    </row>
    <row r="232" spans="3:3" x14ac:dyDescent="0.25">
      <c r="C232" s="21"/>
    </row>
    <row r="233" spans="3:3" x14ac:dyDescent="0.25">
      <c r="C233" s="21"/>
    </row>
    <row r="234" spans="3:3" x14ac:dyDescent="0.25">
      <c r="C234" s="21"/>
    </row>
    <row r="235" spans="3:3" x14ac:dyDescent="0.25">
      <c r="C235" s="21"/>
    </row>
    <row r="236" spans="3:3" x14ac:dyDescent="0.25">
      <c r="C236" s="21"/>
    </row>
    <row r="237" spans="3:3" x14ac:dyDescent="0.25">
      <c r="C237" s="21"/>
    </row>
    <row r="238" spans="3:3" x14ac:dyDescent="0.25">
      <c r="C238" s="21"/>
    </row>
    <row r="239" spans="3:3" x14ac:dyDescent="0.25">
      <c r="C239" s="21"/>
    </row>
    <row r="240" spans="3:3" x14ac:dyDescent="0.25">
      <c r="C240" s="21"/>
    </row>
    <row r="241" spans="3:3" x14ac:dyDescent="0.25">
      <c r="C241" s="21"/>
    </row>
    <row r="242" spans="3:3" x14ac:dyDescent="0.25">
      <c r="C242" s="21"/>
    </row>
    <row r="243" spans="3:3" x14ac:dyDescent="0.25">
      <c r="C243" s="21"/>
    </row>
    <row r="244" spans="3:3" x14ac:dyDescent="0.25">
      <c r="C244" s="21"/>
    </row>
    <row r="245" spans="3:3" x14ac:dyDescent="0.25">
      <c r="C245" s="21"/>
    </row>
    <row r="246" spans="3:3" x14ac:dyDescent="0.25">
      <c r="C246" s="21"/>
    </row>
    <row r="247" spans="3:3" x14ac:dyDescent="0.25">
      <c r="C247" s="21"/>
    </row>
    <row r="248" spans="3:3" x14ac:dyDescent="0.25">
      <c r="C248" s="21"/>
    </row>
    <row r="249" spans="3:3" x14ac:dyDescent="0.25">
      <c r="C249" s="21"/>
    </row>
    <row r="250" spans="3:3" x14ac:dyDescent="0.25">
      <c r="C250" s="21"/>
    </row>
    <row r="251" spans="3:3" x14ac:dyDescent="0.25">
      <c r="C251" s="21"/>
    </row>
    <row r="252" spans="3:3" x14ac:dyDescent="0.25">
      <c r="C252" s="21"/>
    </row>
    <row r="253" spans="3:3" x14ac:dyDescent="0.25">
      <c r="C253" s="21"/>
    </row>
    <row r="254" spans="3:3" x14ac:dyDescent="0.25">
      <c r="C254" s="21"/>
    </row>
    <row r="255" spans="3:3" x14ac:dyDescent="0.25">
      <c r="C255" s="21"/>
    </row>
    <row r="256" spans="3:3" x14ac:dyDescent="0.25">
      <c r="C256" s="21"/>
    </row>
    <row r="257" spans="3:3" x14ac:dyDescent="0.25">
      <c r="C257" s="21"/>
    </row>
    <row r="258" spans="3:3" x14ac:dyDescent="0.25">
      <c r="C258" s="21"/>
    </row>
    <row r="259" spans="3:3" x14ac:dyDescent="0.25">
      <c r="C259" s="21"/>
    </row>
    <row r="260" spans="3:3" x14ac:dyDescent="0.25">
      <c r="C260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5" spans="3:3" x14ac:dyDescent="0.25">
      <c r="C265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69" spans="3:3" x14ac:dyDescent="0.25">
      <c r="C269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6" spans="3:3" x14ac:dyDescent="0.25">
      <c r="C286" s="21"/>
    </row>
    <row r="287" spans="3:3" x14ac:dyDescent="0.25">
      <c r="C287" s="21"/>
    </row>
    <row r="288" spans="3:3" x14ac:dyDescent="0.25">
      <c r="C288" s="21"/>
    </row>
    <row r="289" spans="3:3" x14ac:dyDescent="0.25">
      <c r="C289" s="21"/>
    </row>
    <row r="290" spans="3:3" x14ac:dyDescent="0.25">
      <c r="C290" s="21"/>
    </row>
    <row r="291" spans="3:3" x14ac:dyDescent="0.25">
      <c r="C291" s="21"/>
    </row>
    <row r="292" spans="3:3" x14ac:dyDescent="0.25">
      <c r="C292" s="21"/>
    </row>
    <row r="293" spans="3:3" x14ac:dyDescent="0.25">
      <c r="C293" s="21"/>
    </row>
    <row r="294" spans="3:3" x14ac:dyDescent="0.25">
      <c r="C294" s="21"/>
    </row>
    <row r="295" spans="3:3" x14ac:dyDescent="0.25">
      <c r="C295" s="21"/>
    </row>
    <row r="296" spans="3:3" x14ac:dyDescent="0.25">
      <c r="C296" s="21"/>
    </row>
    <row r="297" spans="3:3" x14ac:dyDescent="0.25">
      <c r="C297" s="21"/>
    </row>
    <row r="298" spans="3:3" x14ac:dyDescent="0.25">
      <c r="C298" s="21"/>
    </row>
    <row r="299" spans="3:3" x14ac:dyDescent="0.25">
      <c r="C299" s="21"/>
    </row>
    <row r="300" spans="3:3" x14ac:dyDescent="0.25">
      <c r="C300" s="21"/>
    </row>
    <row r="301" spans="3:3" x14ac:dyDescent="0.25">
      <c r="C301" s="21"/>
    </row>
    <row r="302" spans="3:3" x14ac:dyDescent="0.25">
      <c r="C302" s="21"/>
    </row>
    <row r="303" spans="3:3" x14ac:dyDescent="0.25">
      <c r="C303" s="21"/>
    </row>
    <row r="304" spans="3:3" x14ac:dyDescent="0.25">
      <c r="C304" s="21"/>
    </row>
    <row r="305" spans="3:3" x14ac:dyDescent="0.25">
      <c r="C305" s="21"/>
    </row>
    <row r="306" spans="3:3" x14ac:dyDescent="0.25">
      <c r="C306" s="21"/>
    </row>
    <row r="307" spans="3:3" x14ac:dyDescent="0.25">
      <c r="C307" s="21"/>
    </row>
    <row r="308" spans="3:3" x14ac:dyDescent="0.25">
      <c r="C308" s="21"/>
    </row>
    <row r="309" spans="3:3" x14ac:dyDescent="0.25">
      <c r="C309" s="21"/>
    </row>
    <row r="310" spans="3:3" x14ac:dyDescent="0.25">
      <c r="C310" s="21"/>
    </row>
    <row r="311" spans="3:3" x14ac:dyDescent="0.25">
      <c r="C311" s="21"/>
    </row>
    <row r="312" spans="3:3" x14ac:dyDescent="0.25">
      <c r="C312" s="21"/>
    </row>
    <row r="313" spans="3:3" x14ac:dyDescent="0.25">
      <c r="C313" s="21"/>
    </row>
    <row r="314" spans="3:3" x14ac:dyDescent="0.25">
      <c r="C314" s="21"/>
    </row>
    <row r="315" spans="3:3" x14ac:dyDescent="0.25">
      <c r="C315" s="21"/>
    </row>
    <row r="316" spans="3:3" x14ac:dyDescent="0.25">
      <c r="C316" s="21"/>
    </row>
    <row r="317" spans="3:3" x14ac:dyDescent="0.25">
      <c r="C317" s="21"/>
    </row>
    <row r="318" spans="3:3" x14ac:dyDescent="0.25">
      <c r="C318" s="21"/>
    </row>
  </sheetData>
  <mergeCells count="3">
    <mergeCell ref="B1:G1"/>
    <mergeCell ref="D2:G2"/>
    <mergeCell ref="I2:L2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0" r:id="rId15" display="http://biomolecula.ru/content/1747"/>
    <hyperlink ref="B80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2" r:id="rId27" display="http://biomolecula.ru/content/1769"/>
    <hyperlink ref="B72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1" r:id="rId33" display="http://biomolecula.ru/content/1773"/>
    <hyperlink ref="B81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2" r:id="rId39" display="http://biomolecula.ru/content/1782"/>
    <hyperlink ref="B82" r:id="rId40" display="http://biomolecula.ru/authors/4787"/>
    <hyperlink ref="A16" r:id="rId41" display="http://biomolecula.ru/content/1784"/>
    <hyperlink ref="B16" r:id="rId42" display="http://biomolecula.ru/authors/4277"/>
    <hyperlink ref="A83" r:id="rId43" display="http://biomolecula.ru/content/1779"/>
    <hyperlink ref="B83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4" r:id="rId51" display="http://biomolecula.ru/content/1783"/>
    <hyperlink ref="B84" r:id="rId52" display="http://biomolecula.ru/authors/4824"/>
    <hyperlink ref="A17" r:id="rId53" display="http://biomolecula.ru/content/1789"/>
    <hyperlink ref="B17" r:id="rId54" display="http://biomolecula.ru/authors/4712"/>
    <hyperlink ref="A85" r:id="rId55" display="http://biomolecula.ru/content/1790"/>
    <hyperlink ref="B85" r:id="rId56" display="http://biomolecula.ru/authors/4800"/>
    <hyperlink ref="A86" r:id="rId57" display="http://biomolecula.ru/content/1812"/>
    <hyperlink ref="B86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7" r:id="rId67" display="http://biomolecula.ru/content/1794"/>
    <hyperlink ref="B87" r:id="rId68" display="http://biomolecula.ru/authors/4830"/>
    <hyperlink ref="A21" r:id="rId69" display="http://biomolecula.ru/content/1795"/>
    <hyperlink ref="B21" r:id="rId70" display="http://biomolecula.ru/authors/4776"/>
    <hyperlink ref="A88" r:id="rId71" display="http://biomolecula.ru/content/1797"/>
    <hyperlink ref="B88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89" r:id="rId77" display="http://biomolecula.ru/content/1817"/>
    <hyperlink ref="B89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0" r:id="rId89" display="http://biomolecula.ru/content/1800"/>
    <hyperlink ref="B90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1" r:id="rId115" display="http://biomolecula.ru/content/1806"/>
    <hyperlink ref="B91" r:id="rId116" display="http://biomolecula.ru/authors/4791"/>
    <hyperlink ref="A92" r:id="rId117" display="http://biomolecula.ru/content/1807"/>
    <hyperlink ref="B92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3" r:id="rId126" display="http://biomolecula.ru/content/1833"/>
    <hyperlink ref="B73" r:id="rId127" display="http://biomolecula.ru/authors/4265"/>
    <hyperlink ref="A74" r:id="rId128" display="http://biomolecula.ru/content/1834"/>
    <hyperlink ref="B74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5" r:id="rId133" display="http://biomolecula.ru/content/1836"/>
    <hyperlink ref="B75" r:id="rId134" display="http://biomolecula.ru/authors/4815"/>
    <hyperlink ref="A76" r:id="rId135" display="http://biomolecula.ru/content/1837"/>
    <hyperlink ref="B76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7" r:id="rId141" display="http://biomolecula.ru/content/1840"/>
    <hyperlink ref="B77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</hyperlinks>
  <pageMargins left="0.7" right="0.7" top="0.75" bottom="0.75" header="0.3" footer="0.3"/>
  <pageSetup paperSize="9" orientation="portrait" r:id="rId1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A65" workbookViewId="0">
      <selection activeCell="I73" sqref="I73:L73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  <col min="9" max="9" width="15.375" customWidth="1"/>
    <col min="10" max="10" width="18.625" customWidth="1"/>
    <col min="11" max="11" width="16.5" customWidth="1"/>
  </cols>
  <sheetData>
    <row r="1" spans="1:12" x14ac:dyDescent="0.25">
      <c r="A1" s="1" t="s">
        <v>14</v>
      </c>
      <c r="B1" s="106" t="s">
        <v>176</v>
      </c>
      <c r="C1" s="106"/>
      <c r="D1" s="106"/>
      <c r="E1" s="106"/>
      <c r="F1" s="106"/>
      <c r="G1" s="106"/>
      <c r="H1" t="s">
        <v>174</v>
      </c>
      <c r="I1" s="1">
        <f>AVERAGE(D6:G78)</f>
        <v>4.5245098039215685</v>
      </c>
      <c r="J1" t="s">
        <v>177</v>
      </c>
      <c r="K1" s="1">
        <f>_xlfn.STDEV.S(D6:G78)</f>
        <v>0.67640549159950858</v>
      </c>
    </row>
    <row r="2" spans="1:12" x14ac:dyDescent="0.25">
      <c r="D2" s="102" t="s">
        <v>16</v>
      </c>
      <c r="E2" s="102"/>
      <c r="F2" s="102"/>
      <c r="G2" s="102"/>
      <c r="I2" s="108" t="s">
        <v>213</v>
      </c>
      <c r="J2" s="108"/>
      <c r="K2" s="108"/>
      <c r="L2" s="108"/>
    </row>
    <row r="3" spans="1:12" s="27" customFormat="1" ht="18.75" x14ac:dyDescent="0.3">
      <c r="A3" s="10" t="s">
        <v>3</v>
      </c>
      <c r="B3" s="10" t="s">
        <v>4</v>
      </c>
      <c r="C3" s="10" t="s">
        <v>17</v>
      </c>
      <c r="D3" s="10" t="s">
        <v>15</v>
      </c>
      <c r="E3" s="10" t="s">
        <v>7</v>
      </c>
      <c r="F3" s="10" t="s">
        <v>5</v>
      </c>
      <c r="G3" s="10" t="s">
        <v>6</v>
      </c>
      <c r="I3" s="27" t="str">
        <f>D3</f>
        <v>Актуальность темы</v>
      </c>
      <c r="J3" s="27" t="str">
        <f t="shared" ref="J3:L3" si="0">E3</f>
        <v>Научная состовляющая</v>
      </c>
      <c r="K3" s="27" t="str">
        <f t="shared" si="0"/>
        <v>Доступность изложения</v>
      </c>
      <c r="L3" s="27" t="str">
        <f t="shared" si="0"/>
        <v>Авторский стиль</v>
      </c>
    </row>
    <row r="4" spans="1:12" s="27" customFormat="1" ht="18.75" x14ac:dyDescent="0.3">
      <c r="A4" s="28"/>
      <c r="B4" s="28"/>
      <c r="C4" s="16"/>
      <c r="D4" s="28"/>
      <c r="E4" s="28"/>
      <c r="F4" s="28"/>
      <c r="G4" s="28"/>
    </row>
    <row r="5" spans="1:12" s="12" customFormat="1" x14ac:dyDescent="0.25">
      <c r="A5" s="1" t="s">
        <v>0</v>
      </c>
    </row>
    <row r="6" spans="1:12" s="12" customFormat="1" x14ac:dyDescent="0.25">
      <c r="A6" s="29" t="s">
        <v>21</v>
      </c>
      <c r="B6" s="6" t="s">
        <v>22</v>
      </c>
      <c r="C6" s="11"/>
      <c r="D6" s="12">
        <v>5</v>
      </c>
      <c r="E6" s="12">
        <v>5</v>
      </c>
      <c r="F6" s="12">
        <v>5</v>
      </c>
      <c r="G6" s="12">
        <v>5</v>
      </c>
      <c r="I6" s="12">
        <f>STANDARDIZE(D6,$I$1,$K$1)</f>
        <v>0.70296619702780794</v>
      </c>
      <c r="J6" s="12">
        <f t="shared" ref="J6:L6" si="1">STANDARDIZE(E6,$I$1,$K$1)</f>
        <v>0.70296619702780794</v>
      </c>
      <c r="K6" s="12">
        <f t="shared" si="1"/>
        <v>0.70296619702780794</v>
      </c>
      <c r="L6" s="12">
        <f t="shared" si="1"/>
        <v>0.70296619702780794</v>
      </c>
    </row>
    <row r="7" spans="1:12" s="12" customFormat="1" x14ac:dyDescent="0.25">
      <c r="A7" s="14" t="s">
        <v>31</v>
      </c>
      <c r="B7" s="6" t="s">
        <v>32</v>
      </c>
      <c r="C7" s="105"/>
      <c r="D7" s="100">
        <v>3</v>
      </c>
      <c r="E7" s="100">
        <v>5</v>
      </c>
      <c r="F7" s="100">
        <v>5</v>
      </c>
      <c r="G7" s="100">
        <v>5</v>
      </c>
      <c r="I7" s="100">
        <f t="shared" ref="I7:I55" si="2">STANDARDIZE(D7,$I$1,$K$1)</f>
        <v>-2.2538400750066829</v>
      </c>
      <c r="J7" s="100">
        <f t="shared" ref="J7:J55" si="3">STANDARDIZE(E7,$I$1,$K$1)</f>
        <v>0.70296619702780794</v>
      </c>
      <c r="K7" s="100">
        <f t="shared" ref="K7:K55" si="4">STANDARDIZE(F7,$I$1,$K$1)</f>
        <v>0.70296619702780794</v>
      </c>
      <c r="L7" s="100">
        <f t="shared" ref="L7:L55" si="5">STANDARDIZE(G7,$I$1,$K$1)</f>
        <v>0.70296619702780794</v>
      </c>
    </row>
    <row r="8" spans="1:12" s="12" customFormat="1" x14ac:dyDescent="0.25">
      <c r="A8" s="13" t="s">
        <v>33</v>
      </c>
      <c r="B8" s="6" t="s">
        <v>32</v>
      </c>
      <c r="C8" s="105"/>
      <c r="D8" s="100"/>
      <c r="E8" s="100"/>
      <c r="F8" s="100"/>
      <c r="G8" s="100"/>
      <c r="I8" s="100"/>
      <c r="J8" s="100"/>
      <c r="K8" s="100"/>
      <c r="L8" s="100"/>
    </row>
    <row r="9" spans="1:12" s="12" customFormat="1" x14ac:dyDescent="0.25">
      <c r="A9" s="13" t="s">
        <v>36</v>
      </c>
      <c r="B9" s="6" t="s">
        <v>37</v>
      </c>
      <c r="C9" s="11"/>
      <c r="D9" s="12">
        <v>5</v>
      </c>
      <c r="E9" s="12">
        <v>5</v>
      </c>
      <c r="F9" s="12">
        <v>5</v>
      </c>
      <c r="G9" s="12">
        <v>5</v>
      </c>
      <c r="I9" s="12">
        <f t="shared" si="2"/>
        <v>0.70296619702780794</v>
      </c>
      <c r="J9" s="12">
        <f t="shared" si="3"/>
        <v>0.70296619702780794</v>
      </c>
      <c r="K9" s="12">
        <f t="shared" si="4"/>
        <v>0.70296619702780794</v>
      </c>
      <c r="L9" s="12">
        <f t="shared" si="5"/>
        <v>0.70296619702780794</v>
      </c>
    </row>
    <row r="10" spans="1:12" s="12" customFormat="1" x14ac:dyDescent="0.25">
      <c r="A10" s="13" t="s">
        <v>38</v>
      </c>
      <c r="B10" s="6" t="s">
        <v>39</v>
      </c>
      <c r="C10" s="11"/>
      <c r="D10" s="12">
        <v>5</v>
      </c>
      <c r="E10" s="12">
        <v>4</v>
      </c>
      <c r="F10" s="12">
        <v>5</v>
      </c>
      <c r="G10" s="12">
        <v>5</v>
      </c>
      <c r="I10" s="12">
        <f t="shared" si="2"/>
        <v>0.70296619702780794</v>
      </c>
      <c r="J10" s="12">
        <f t="shared" si="3"/>
        <v>-0.77543693898943744</v>
      </c>
      <c r="K10" s="12">
        <f t="shared" si="4"/>
        <v>0.70296619702780794</v>
      </c>
      <c r="L10" s="12">
        <f t="shared" si="5"/>
        <v>0.70296619702780794</v>
      </c>
    </row>
    <row r="11" spans="1:12" s="12" customFormat="1" x14ac:dyDescent="0.25">
      <c r="A11" s="29" t="s">
        <v>42</v>
      </c>
      <c r="B11" s="6" t="s">
        <v>43</v>
      </c>
      <c r="C11" s="11"/>
      <c r="D11" s="12">
        <v>5</v>
      </c>
      <c r="E11" s="12">
        <v>5</v>
      </c>
      <c r="F11" s="12">
        <v>3</v>
      </c>
      <c r="G11" s="12">
        <v>4</v>
      </c>
      <c r="I11" s="12">
        <f t="shared" si="2"/>
        <v>0.70296619702780794</v>
      </c>
      <c r="J11" s="12">
        <f t="shared" si="3"/>
        <v>0.70296619702780794</v>
      </c>
      <c r="K11" s="12">
        <f t="shared" si="4"/>
        <v>-2.2538400750066829</v>
      </c>
      <c r="L11" s="12">
        <f t="shared" si="5"/>
        <v>-0.77543693898943744</v>
      </c>
    </row>
    <row r="12" spans="1:12" s="12" customFormat="1" x14ac:dyDescent="0.25">
      <c r="A12" s="29" t="s">
        <v>44</v>
      </c>
      <c r="B12" s="6" t="s">
        <v>45</v>
      </c>
      <c r="C12" s="11"/>
      <c r="D12" s="12">
        <v>4</v>
      </c>
      <c r="E12" s="12">
        <v>5</v>
      </c>
      <c r="F12" s="12">
        <v>5</v>
      </c>
      <c r="G12" s="12">
        <v>4</v>
      </c>
      <c r="I12" s="12">
        <f t="shared" si="2"/>
        <v>-0.77543693898943744</v>
      </c>
      <c r="J12" s="12">
        <f t="shared" si="3"/>
        <v>0.70296619702780794</v>
      </c>
      <c r="K12" s="12">
        <f t="shared" si="4"/>
        <v>0.70296619702780794</v>
      </c>
      <c r="L12" s="12">
        <f t="shared" si="5"/>
        <v>-0.77543693898943744</v>
      </c>
    </row>
    <row r="13" spans="1:12" s="12" customFormat="1" x14ac:dyDescent="0.25">
      <c r="A13" s="13" t="s">
        <v>50</v>
      </c>
      <c r="B13" s="6" t="s">
        <v>51</v>
      </c>
      <c r="C13" s="11"/>
      <c r="D13" s="12">
        <v>5</v>
      </c>
      <c r="E13" s="12">
        <v>5</v>
      </c>
      <c r="F13" s="12">
        <v>5</v>
      </c>
      <c r="G13" s="12">
        <v>5</v>
      </c>
      <c r="I13" s="12">
        <f t="shared" si="2"/>
        <v>0.70296619702780794</v>
      </c>
      <c r="J13" s="12">
        <f t="shared" si="3"/>
        <v>0.70296619702780794</v>
      </c>
      <c r="K13" s="12">
        <f t="shared" si="4"/>
        <v>0.70296619702780794</v>
      </c>
      <c r="L13" s="12">
        <f t="shared" si="5"/>
        <v>0.70296619702780794</v>
      </c>
    </row>
    <row r="14" spans="1:12" s="12" customFormat="1" x14ac:dyDescent="0.25">
      <c r="A14" s="13" t="s">
        <v>54</v>
      </c>
      <c r="B14" s="6" t="s">
        <v>55</v>
      </c>
      <c r="C14" s="11"/>
      <c r="D14" s="12">
        <v>5</v>
      </c>
      <c r="E14" s="12">
        <v>5</v>
      </c>
      <c r="F14" s="12">
        <v>4</v>
      </c>
      <c r="G14" s="12">
        <v>5</v>
      </c>
      <c r="I14" s="12">
        <f t="shared" si="2"/>
        <v>0.70296619702780794</v>
      </c>
      <c r="J14" s="12">
        <f t="shared" si="3"/>
        <v>0.70296619702780794</v>
      </c>
      <c r="K14" s="12">
        <f t="shared" si="4"/>
        <v>-0.77543693898943744</v>
      </c>
      <c r="L14" s="12">
        <f t="shared" si="5"/>
        <v>0.70296619702780794</v>
      </c>
    </row>
    <row r="15" spans="1:12" s="12" customFormat="1" x14ac:dyDescent="0.25">
      <c r="A15" s="13" t="s">
        <v>56</v>
      </c>
      <c r="B15" s="6" t="s">
        <v>57</v>
      </c>
      <c r="C15" s="11"/>
      <c r="D15" s="12">
        <v>4</v>
      </c>
      <c r="E15" s="12">
        <v>3</v>
      </c>
      <c r="F15" s="12">
        <v>5</v>
      </c>
      <c r="G15" s="12">
        <v>5</v>
      </c>
      <c r="I15" s="12">
        <f t="shared" si="2"/>
        <v>-0.77543693898943744</v>
      </c>
      <c r="J15" s="12">
        <f t="shared" si="3"/>
        <v>-2.2538400750066829</v>
      </c>
      <c r="K15" s="12">
        <f t="shared" si="4"/>
        <v>0.70296619702780794</v>
      </c>
      <c r="L15" s="12">
        <f t="shared" si="5"/>
        <v>0.70296619702780794</v>
      </c>
    </row>
    <row r="16" spans="1:12" x14ac:dyDescent="0.25">
      <c r="A16" s="13" t="s">
        <v>60</v>
      </c>
      <c r="B16" s="6" t="s">
        <v>61</v>
      </c>
      <c r="C16" s="12"/>
      <c r="D16">
        <v>4</v>
      </c>
      <c r="E16">
        <v>5</v>
      </c>
      <c r="F16">
        <v>5</v>
      </c>
      <c r="G16">
        <v>4</v>
      </c>
      <c r="I16" s="12">
        <f t="shared" si="2"/>
        <v>-0.77543693898943744</v>
      </c>
      <c r="J16" s="12">
        <f t="shared" si="3"/>
        <v>0.70296619702780794</v>
      </c>
      <c r="K16" s="12">
        <f t="shared" si="4"/>
        <v>0.70296619702780794</v>
      </c>
      <c r="L16" s="12">
        <f t="shared" si="5"/>
        <v>-0.77543693898943744</v>
      </c>
    </row>
    <row r="17" spans="1:12" s="12" customFormat="1" x14ac:dyDescent="0.25">
      <c r="A17" s="13" t="s">
        <v>70</v>
      </c>
      <c r="B17" s="6" t="s">
        <v>71</v>
      </c>
      <c r="C17" s="11"/>
      <c r="D17" s="12">
        <v>5</v>
      </c>
      <c r="E17" s="12">
        <v>5</v>
      </c>
      <c r="F17" s="12">
        <v>5</v>
      </c>
      <c r="G17" s="12">
        <v>5</v>
      </c>
      <c r="I17" s="12">
        <f t="shared" si="2"/>
        <v>0.70296619702780794</v>
      </c>
      <c r="J17" s="12">
        <f t="shared" si="3"/>
        <v>0.70296619702780794</v>
      </c>
      <c r="K17" s="12">
        <f t="shared" si="4"/>
        <v>0.70296619702780794</v>
      </c>
      <c r="L17" s="12">
        <f t="shared" si="5"/>
        <v>0.70296619702780794</v>
      </c>
    </row>
    <row r="18" spans="1:12" s="12" customFormat="1" x14ac:dyDescent="0.25">
      <c r="A18" s="29" t="s">
        <v>78</v>
      </c>
      <c r="B18" s="6" t="s">
        <v>53</v>
      </c>
      <c r="C18" s="11"/>
      <c r="D18" s="12">
        <v>5</v>
      </c>
      <c r="E18" s="12">
        <v>5</v>
      </c>
      <c r="F18" s="12">
        <v>5</v>
      </c>
      <c r="G18" s="12">
        <v>5</v>
      </c>
      <c r="I18" s="12">
        <f t="shared" si="2"/>
        <v>0.70296619702780794</v>
      </c>
      <c r="J18" s="12">
        <f t="shared" si="3"/>
        <v>0.70296619702780794</v>
      </c>
      <c r="K18" s="12">
        <f t="shared" si="4"/>
        <v>0.70296619702780794</v>
      </c>
      <c r="L18" s="12">
        <f t="shared" si="5"/>
        <v>0.70296619702780794</v>
      </c>
    </row>
    <row r="19" spans="1:12" s="12" customFormat="1" x14ac:dyDescent="0.25">
      <c r="A19" s="13" t="s">
        <v>79</v>
      </c>
      <c r="B19" s="6" t="s">
        <v>80</v>
      </c>
      <c r="C19" s="11"/>
      <c r="D19" s="12">
        <v>4</v>
      </c>
      <c r="E19" s="12">
        <v>5</v>
      </c>
      <c r="F19" s="12">
        <v>4</v>
      </c>
      <c r="G19" s="12">
        <v>3</v>
      </c>
      <c r="I19" s="12">
        <f t="shared" si="2"/>
        <v>-0.77543693898943744</v>
      </c>
      <c r="J19" s="12">
        <f t="shared" si="3"/>
        <v>0.70296619702780794</v>
      </c>
      <c r="K19" s="12">
        <f t="shared" si="4"/>
        <v>-0.77543693898943744</v>
      </c>
      <c r="L19" s="12">
        <f t="shared" si="5"/>
        <v>-2.2538400750066829</v>
      </c>
    </row>
    <row r="20" spans="1:12" s="12" customFormat="1" x14ac:dyDescent="0.25">
      <c r="A20" s="13" t="s">
        <v>81</v>
      </c>
      <c r="B20" s="6" t="s">
        <v>82</v>
      </c>
      <c r="C20" s="11"/>
      <c r="D20" s="12">
        <v>5</v>
      </c>
      <c r="E20" s="12">
        <v>5</v>
      </c>
      <c r="F20" s="12">
        <v>4</v>
      </c>
      <c r="G20" s="12">
        <v>4</v>
      </c>
      <c r="I20" s="12">
        <f t="shared" si="2"/>
        <v>0.70296619702780794</v>
      </c>
      <c r="J20" s="12">
        <f t="shared" si="3"/>
        <v>0.70296619702780794</v>
      </c>
      <c r="K20" s="12">
        <f t="shared" si="4"/>
        <v>-0.77543693898943744</v>
      </c>
      <c r="L20" s="12">
        <f t="shared" si="5"/>
        <v>-0.77543693898943744</v>
      </c>
    </row>
    <row r="21" spans="1:12" s="12" customFormat="1" x14ac:dyDescent="0.25">
      <c r="A21" s="13" t="s">
        <v>85</v>
      </c>
      <c r="B21" s="6" t="s">
        <v>86</v>
      </c>
      <c r="C21" s="11"/>
      <c r="D21" s="12">
        <v>4</v>
      </c>
      <c r="E21" s="12">
        <v>3</v>
      </c>
      <c r="F21" s="12">
        <v>5</v>
      </c>
      <c r="G21" s="12">
        <v>4</v>
      </c>
      <c r="I21" s="12">
        <f t="shared" si="2"/>
        <v>-0.77543693898943744</v>
      </c>
      <c r="J21" s="12">
        <f t="shared" si="3"/>
        <v>-2.2538400750066829</v>
      </c>
      <c r="K21" s="12">
        <f t="shared" si="4"/>
        <v>0.70296619702780794</v>
      </c>
      <c r="L21" s="12">
        <f t="shared" si="5"/>
        <v>-0.77543693898943744</v>
      </c>
    </row>
    <row r="22" spans="1:12" s="12" customFormat="1" x14ac:dyDescent="0.25">
      <c r="A22" s="13" t="s">
        <v>97</v>
      </c>
      <c r="B22" s="6" t="s">
        <v>98</v>
      </c>
      <c r="C22" s="11"/>
      <c r="D22" s="12">
        <v>5</v>
      </c>
      <c r="E22" s="12">
        <v>5</v>
      </c>
      <c r="F22" s="12">
        <v>4</v>
      </c>
      <c r="G22" s="12">
        <v>5</v>
      </c>
      <c r="I22" s="12">
        <f t="shared" si="2"/>
        <v>0.70296619702780794</v>
      </c>
      <c r="J22" s="12">
        <f t="shared" si="3"/>
        <v>0.70296619702780794</v>
      </c>
      <c r="K22" s="12">
        <f t="shared" si="4"/>
        <v>-0.77543693898943744</v>
      </c>
      <c r="L22" s="12">
        <f t="shared" si="5"/>
        <v>0.70296619702780794</v>
      </c>
    </row>
    <row r="23" spans="1:12" s="12" customFormat="1" x14ac:dyDescent="0.25">
      <c r="A23" s="13" t="s">
        <v>101</v>
      </c>
      <c r="B23" s="6" t="s">
        <v>102</v>
      </c>
      <c r="C23" s="11"/>
      <c r="D23" s="12">
        <v>4</v>
      </c>
      <c r="E23" s="12">
        <v>5</v>
      </c>
      <c r="F23" s="12">
        <v>5</v>
      </c>
      <c r="G23" s="12">
        <v>5</v>
      </c>
      <c r="I23" s="12">
        <f t="shared" si="2"/>
        <v>-0.77543693898943744</v>
      </c>
      <c r="J23" s="12">
        <f t="shared" si="3"/>
        <v>0.70296619702780794</v>
      </c>
      <c r="K23" s="12">
        <f t="shared" si="4"/>
        <v>0.70296619702780794</v>
      </c>
      <c r="L23" s="12">
        <f t="shared" si="5"/>
        <v>0.70296619702780794</v>
      </c>
    </row>
    <row r="24" spans="1:12" s="12" customFormat="1" x14ac:dyDescent="0.25">
      <c r="A24" s="13" t="s">
        <v>107</v>
      </c>
      <c r="B24" s="6" t="s">
        <v>108</v>
      </c>
      <c r="C24" s="11"/>
      <c r="D24" s="12">
        <v>5</v>
      </c>
      <c r="E24" s="12">
        <v>5</v>
      </c>
      <c r="F24" s="12">
        <v>3</v>
      </c>
      <c r="G24" s="12">
        <v>3</v>
      </c>
      <c r="I24" s="12">
        <f t="shared" si="2"/>
        <v>0.70296619702780794</v>
      </c>
      <c r="J24" s="12">
        <f t="shared" si="3"/>
        <v>0.70296619702780794</v>
      </c>
      <c r="K24" s="12">
        <f t="shared" si="4"/>
        <v>-2.2538400750066829</v>
      </c>
      <c r="L24" s="12">
        <f t="shared" si="5"/>
        <v>-2.2538400750066829</v>
      </c>
    </row>
    <row r="25" spans="1:12" s="12" customFormat="1" x14ac:dyDescent="0.25">
      <c r="A25" s="13" t="s">
        <v>109</v>
      </c>
      <c r="B25" s="6" t="s">
        <v>110</v>
      </c>
      <c r="C25" s="11"/>
      <c r="D25" s="12">
        <v>5</v>
      </c>
      <c r="E25" s="12">
        <v>5</v>
      </c>
      <c r="F25" s="12">
        <v>4</v>
      </c>
      <c r="G25" s="12">
        <v>5</v>
      </c>
      <c r="I25" s="12">
        <f t="shared" si="2"/>
        <v>0.70296619702780794</v>
      </c>
      <c r="J25" s="12">
        <f t="shared" si="3"/>
        <v>0.70296619702780794</v>
      </c>
      <c r="K25" s="12">
        <f t="shared" si="4"/>
        <v>-0.77543693898943744</v>
      </c>
      <c r="L25" s="12">
        <f t="shared" si="5"/>
        <v>0.70296619702780794</v>
      </c>
    </row>
    <row r="26" spans="1:12" s="12" customFormat="1" x14ac:dyDescent="0.25">
      <c r="A26" s="13" t="s">
        <v>111</v>
      </c>
      <c r="B26" s="6" t="s">
        <v>112</v>
      </c>
      <c r="C26" s="11"/>
      <c r="D26" s="12">
        <v>5</v>
      </c>
      <c r="E26" s="12">
        <v>5</v>
      </c>
      <c r="F26" s="12">
        <v>5</v>
      </c>
      <c r="G26" s="12">
        <v>5</v>
      </c>
      <c r="I26" s="12">
        <f t="shared" si="2"/>
        <v>0.70296619702780794</v>
      </c>
      <c r="J26" s="12">
        <f t="shared" si="3"/>
        <v>0.70296619702780794</v>
      </c>
      <c r="K26" s="12">
        <f t="shared" si="4"/>
        <v>0.70296619702780794</v>
      </c>
      <c r="L26" s="12">
        <f t="shared" si="5"/>
        <v>0.70296619702780794</v>
      </c>
    </row>
    <row r="27" spans="1:12" s="12" customFormat="1" x14ac:dyDescent="0.25">
      <c r="A27" s="13" t="s">
        <v>121</v>
      </c>
      <c r="B27" s="6" t="s">
        <v>122</v>
      </c>
      <c r="C27" s="11"/>
      <c r="D27" s="12">
        <v>5</v>
      </c>
      <c r="E27" s="12">
        <v>5</v>
      </c>
      <c r="F27" s="12">
        <v>4</v>
      </c>
      <c r="G27" s="12">
        <v>4</v>
      </c>
      <c r="I27" s="12">
        <f t="shared" si="2"/>
        <v>0.70296619702780794</v>
      </c>
      <c r="J27" s="12">
        <f t="shared" si="3"/>
        <v>0.70296619702780794</v>
      </c>
      <c r="K27" s="12">
        <f t="shared" si="4"/>
        <v>-0.77543693898943744</v>
      </c>
      <c r="L27" s="12">
        <f t="shared" si="5"/>
        <v>-0.77543693898943744</v>
      </c>
    </row>
    <row r="28" spans="1:12" s="12" customFormat="1" x14ac:dyDescent="0.25">
      <c r="A28" s="13" t="s">
        <v>123</v>
      </c>
      <c r="B28" s="6" t="s">
        <v>124</v>
      </c>
      <c r="C28" s="11"/>
      <c r="D28" s="12">
        <v>4</v>
      </c>
      <c r="E28" s="12">
        <v>5</v>
      </c>
      <c r="F28" s="12">
        <v>5</v>
      </c>
      <c r="G28" s="12">
        <v>5</v>
      </c>
      <c r="I28" s="12">
        <f t="shared" si="2"/>
        <v>-0.77543693898943744</v>
      </c>
      <c r="J28" s="12">
        <f t="shared" si="3"/>
        <v>0.70296619702780794</v>
      </c>
      <c r="K28" s="12">
        <f t="shared" si="4"/>
        <v>0.70296619702780794</v>
      </c>
      <c r="L28" s="12">
        <f t="shared" si="5"/>
        <v>0.70296619702780794</v>
      </c>
    </row>
    <row r="29" spans="1:12" s="12" customFormat="1" x14ac:dyDescent="0.25">
      <c r="A29" s="6" t="s">
        <v>134</v>
      </c>
      <c r="B29" s="6" t="s">
        <v>135</v>
      </c>
      <c r="C29" s="11"/>
      <c r="D29" s="12">
        <v>4</v>
      </c>
      <c r="E29" s="12">
        <v>3</v>
      </c>
      <c r="F29" s="12">
        <v>5</v>
      </c>
      <c r="G29" s="12">
        <v>5</v>
      </c>
      <c r="I29" s="12">
        <f t="shared" si="2"/>
        <v>-0.77543693898943744</v>
      </c>
      <c r="J29" s="12">
        <f t="shared" si="3"/>
        <v>-2.2538400750066829</v>
      </c>
      <c r="K29" s="12">
        <f t="shared" si="4"/>
        <v>0.70296619702780794</v>
      </c>
      <c r="L29" s="12">
        <f t="shared" si="5"/>
        <v>0.70296619702780794</v>
      </c>
    </row>
    <row r="30" spans="1:12" s="12" customFormat="1" x14ac:dyDescent="0.25">
      <c r="A30" s="6" t="s">
        <v>145</v>
      </c>
      <c r="B30" s="6" t="s">
        <v>146</v>
      </c>
      <c r="C30" s="17">
        <v>42345</v>
      </c>
      <c r="D30" s="12">
        <v>4</v>
      </c>
      <c r="E30" s="12">
        <v>5</v>
      </c>
      <c r="F30" s="12">
        <v>3</v>
      </c>
      <c r="G30" s="12">
        <v>3</v>
      </c>
      <c r="I30" s="12">
        <f t="shared" si="2"/>
        <v>-0.77543693898943744</v>
      </c>
      <c r="J30" s="12">
        <f t="shared" si="3"/>
        <v>0.70296619702780794</v>
      </c>
      <c r="K30" s="12">
        <f t="shared" si="4"/>
        <v>-2.2538400750066829</v>
      </c>
      <c r="L30" s="12">
        <f t="shared" si="5"/>
        <v>-2.2538400750066829</v>
      </c>
    </row>
    <row r="31" spans="1:12" s="12" customFormat="1" x14ac:dyDescent="0.25">
      <c r="A31" s="6" t="s">
        <v>153</v>
      </c>
      <c r="B31" s="6" t="s">
        <v>154</v>
      </c>
      <c r="C31" s="17">
        <v>42340</v>
      </c>
      <c r="D31" s="12">
        <v>4</v>
      </c>
      <c r="E31" s="12">
        <v>4</v>
      </c>
      <c r="F31" s="12">
        <v>5</v>
      </c>
      <c r="G31" s="12">
        <v>5</v>
      </c>
      <c r="I31" s="12">
        <f t="shared" si="2"/>
        <v>-0.77543693898943744</v>
      </c>
      <c r="J31" s="12">
        <f t="shared" si="3"/>
        <v>-0.77543693898943744</v>
      </c>
      <c r="K31" s="12">
        <f t="shared" si="4"/>
        <v>0.70296619702780794</v>
      </c>
      <c r="L31" s="12">
        <f t="shared" si="5"/>
        <v>0.70296619702780794</v>
      </c>
    </row>
    <row r="32" spans="1:12" s="12" customFormat="1" x14ac:dyDescent="0.25">
      <c r="A32" s="30" t="s">
        <v>163</v>
      </c>
      <c r="B32" s="6" t="s">
        <v>162</v>
      </c>
      <c r="C32" s="17">
        <v>42343</v>
      </c>
      <c r="D32" s="12">
        <v>4</v>
      </c>
      <c r="E32" s="12">
        <v>5</v>
      </c>
      <c r="F32" s="12">
        <v>4</v>
      </c>
      <c r="G32" s="12">
        <v>4</v>
      </c>
      <c r="I32" s="12">
        <f t="shared" si="2"/>
        <v>-0.77543693898943744</v>
      </c>
      <c r="J32" s="12">
        <f t="shared" si="3"/>
        <v>0.70296619702780794</v>
      </c>
      <c r="K32" s="12">
        <f t="shared" si="4"/>
        <v>-0.77543693898943744</v>
      </c>
      <c r="L32" s="12">
        <f t="shared" si="5"/>
        <v>-0.77543693898943744</v>
      </c>
    </row>
    <row r="33" spans="1:12" s="12" customFormat="1" x14ac:dyDescent="0.25">
      <c r="A33" s="30" t="s">
        <v>166</v>
      </c>
      <c r="B33" s="6" t="s">
        <v>167</v>
      </c>
      <c r="C33" s="17">
        <v>42350</v>
      </c>
      <c r="D33" s="12">
        <v>5</v>
      </c>
      <c r="E33" s="12">
        <v>5</v>
      </c>
      <c r="F33" s="12">
        <v>5</v>
      </c>
      <c r="G33" s="12">
        <v>5</v>
      </c>
      <c r="I33" s="12">
        <f t="shared" si="2"/>
        <v>0.70296619702780794</v>
      </c>
      <c r="J33" s="12">
        <f t="shared" si="3"/>
        <v>0.70296619702780794</v>
      </c>
      <c r="K33" s="12">
        <f t="shared" si="4"/>
        <v>0.70296619702780794</v>
      </c>
      <c r="L33" s="12">
        <f t="shared" si="5"/>
        <v>0.70296619702780794</v>
      </c>
    </row>
    <row r="34" spans="1:12" s="12" customFormat="1" x14ac:dyDescent="0.25">
      <c r="A34" s="30" t="s">
        <v>164</v>
      </c>
      <c r="B34" s="6" t="s">
        <v>165</v>
      </c>
      <c r="C34" s="17">
        <v>42351</v>
      </c>
      <c r="D34" s="12">
        <v>4</v>
      </c>
      <c r="E34" s="12">
        <v>5</v>
      </c>
      <c r="F34" s="12">
        <v>4</v>
      </c>
      <c r="G34" s="12">
        <v>4</v>
      </c>
      <c r="I34" s="12">
        <f t="shared" si="2"/>
        <v>-0.77543693898943744</v>
      </c>
      <c r="J34" s="12">
        <f t="shared" si="3"/>
        <v>0.70296619702780794</v>
      </c>
      <c r="K34" s="12">
        <f t="shared" si="4"/>
        <v>-0.77543693898943744</v>
      </c>
      <c r="L34" s="12">
        <f t="shared" si="5"/>
        <v>-0.77543693898943744</v>
      </c>
    </row>
    <row r="35" spans="1:12" s="12" customFormat="1" x14ac:dyDescent="0.25">
      <c r="B35" s="7"/>
      <c r="C35" s="7"/>
    </row>
    <row r="36" spans="1:12" s="12" customFormat="1" x14ac:dyDescent="0.25">
      <c r="A36" s="1" t="s">
        <v>1</v>
      </c>
      <c r="B36" s="7"/>
      <c r="C36" s="7"/>
    </row>
    <row r="37" spans="1:12" s="12" customFormat="1" x14ac:dyDescent="0.25">
      <c r="A37" s="13" t="s">
        <v>23</v>
      </c>
      <c r="B37" s="6" t="s">
        <v>24</v>
      </c>
      <c r="C37" s="31"/>
      <c r="D37" s="12">
        <v>5</v>
      </c>
      <c r="E37" s="12">
        <v>4</v>
      </c>
      <c r="F37" s="12">
        <v>5</v>
      </c>
      <c r="G37" s="12">
        <v>5</v>
      </c>
      <c r="I37" s="12">
        <f t="shared" si="2"/>
        <v>0.70296619702780794</v>
      </c>
      <c r="J37" s="12">
        <f t="shared" si="3"/>
        <v>-0.77543693898943744</v>
      </c>
      <c r="K37" s="12">
        <f t="shared" si="4"/>
        <v>0.70296619702780794</v>
      </c>
      <c r="L37" s="12">
        <f t="shared" si="5"/>
        <v>0.70296619702780794</v>
      </c>
    </row>
    <row r="38" spans="1:12" s="12" customFormat="1" x14ac:dyDescent="0.25">
      <c r="A38" s="13" t="s">
        <v>25</v>
      </c>
      <c r="B38" s="6" t="s">
        <v>26</v>
      </c>
      <c r="C38" s="11"/>
      <c r="D38" s="12">
        <v>5</v>
      </c>
      <c r="E38" s="12">
        <v>5</v>
      </c>
      <c r="F38" s="12">
        <v>5</v>
      </c>
      <c r="G38" s="12">
        <v>4</v>
      </c>
      <c r="I38" s="12">
        <f t="shared" si="2"/>
        <v>0.70296619702780794</v>
      </c>
      <c r="J38" s="12">
        <f t="shared" si="3"/>
        <v>0.70296619702780794</v>
      </c>
      <c r="K38" s="12">
        <f t="shared" si="4"/>
        <v>0.70296619702780794</v>
      </c>
      <c r="L38" s="12">
        <f t="shared" si="5"/>
        <v>-0.77543693898943744</v>
      </c>
    </row>
    <row r="39" spans="1:12" s="12" customFormat="1" x14ac:dyDescent="0.25">
      <c r="A39" s="13" t="s">
        <v>27</v>
      </c>
      <c r="B39" s="6" t="s">
        <v>28</v>
      </c>
      <c r="C39" s="11"/>
      <c r="D39" s="12">
        <v>5</v>
      </c>
      <c r="E39" s="12">
        <v>5</v>
      </c>
      <c r="F39" s="12">
        <v>5</v>
      </c>
      <c r="G39" s="12">
        <v>5</v>
      </c>
      <c r="I39" s="12">
        <f t="shared" si="2"/>
        <v>0.70296619702780794</v>
      </c>
      <c r="J39" s="12">
        <f t="shared" si="3"/>
        <v>0.70296619702780794</v>
      </c>
      <c r="K39" s="12">
        <f t="shared" si="4"/>
        <v>0.70296619702780794</v>
      </c>
      <c r="L39" s="12">
        <f t="shared" si="5"/>
        <v>0.70296619702780794</v>
      </c>
    </row>
    <row r="40" spans="1:12" s="12" customFormat="1" ht="31.5" x14ac:dyDescent="0.25">
      <c r="A40" s="13" t="s">
        <v>48</v>
      </c>
      <c r="B40" s="6" t="s">
        <v>49</v>
      </c>
      <c r="C40" s="11"/>
      <c r="D40" s="12">
        <v>5</v>
      </c>
      <c r="E40" s="12">
        <v>5</v>
      </c>
      <c r="F40" s="12">
        <v>5</v>
      </c>
      <c r="G40" s="12">
        <v>5</v>
      </c>
      <c r="I40" s="12">
        <f t="shared" si="2"/>
        <v>0.70296619702780794</v>
      </c>
      <c r="J40" s="12">
        <f t="shared" si="3"/>
        <v>0.70296619702780794</v>
      </c>
      <c r="K40" s="12">
        <f t="shared" si="4"/>
        <v>0.70296619702780794</v>
      </c>
      <c r="L40" s="12">
        <f t="shared" si="5"/>
        <v>0.70296619702780794</v>
      </c>
    </row>
    <row r="41" spans="1:12" s="12" customFormat="1" x14ac:dyDescent="0.25">
      <c r="A41" s="13" t="s">
        <v>76</v>
      </c>
      <c r="B41" s="6" t="s">
        <v>77</v>
      </c>
      <c r="C41" s="11"/>
      <c r="D41" s="12">
        <v>5</v>
      </c>
      <c r="E41" s="12">
        <v>5</v>
      </c>
      <c r="F41" s="12">
        <v>5</v>
      </c>
      <c r="G41" s="12">
        <v>4</v>
      </c>
      <c r="I41" s="12">
        <f t="shared" si="2"/>
        <v>0.70296619702780794</v>
      </c>
      <c r="J41" s="12">
        <f t="shared" si="3"/>
        <v>0.70296619702780794</v>
      </c>
      <c r="K41" s="12">
        <f t="shared" si="4"/>
        <v>0.70296619702780794</v>
      </c>
      <c r="L41" s="12">
        <f t="shared" si="5"/>
        <v>-0.77543693898943744</v>
      </c>
    </row>
    <row r="42" spans="1:12" s="12" customFormat="1" x14ac:dyDescent="0.25">
      <c r="A42" s="13" t="s">
        <v>91</v>
      </c>
      <c r="B42" s="6" t="s">
        <v>92</v>
      </c>
      <c r="C42" s="11"/>
      <c r="D42" s="12">
        <v>5</v>
      </c>
      <c r="E42" s="12">
        <v>5</v>
      </c>
      <c r="F42" s="12">
        <v>5</v>
      </c>
      <c r="G42" s="12">
        <v>5</v>
      </c>
      <c r="I42" s="12">
        <f t="shared" si="2"/>
        <v>0.70296619702780794</v>
      </c>
      <c r="J42" s="12">
        <f t="shared" si="3"/>
        <v>0.70296619702780794</v>
      </c>
      <c r="K42" s="12">
        <f t="shared" si="4"/>
        <v>0.70296619702780794</v>
      </c>
      <c r="L42" s="12">
        <f t="shared" si="5"/>
        <v>0.70296619702780794</v>
      </c>
    </row>
    <row r="43" spans="1:12" s="12" customFormat="1" x14ac:dyDescent="0.25">
      <c r="A43" s="13" t="s">
        <v>95</v>
      </c>
      <c r="B43" s="6" t="s">
        <v>96</v>
      </c>
      <c r="C43" s="11"/>
      <c r="D43" s="12">
        <v>4</v>
      </c>
      <c r="E43" s="12">
        <v>5</v>
      </c>
      <c r="F43" s="12">
        <v>4</v>
      </c>
      <c r="G43" s="12">
        <v>4</v>
      </c>
      <c r="I43" s="12">
        <f t="shared" si="2"/>
        <v>-0.77543693898943744</v>
      </c>
      <c r="J43" s="12">
        <f t="shared" si="3"/>
        <v>0.70296619702780794</v>
      </c>
      <c r="K43" s="12">
        <f t="shared" si="4"/>
        <v>-0.77543693898943744</v>
      </c>
      <c r="L43" s="12">
        <f t="shared" si="5"/>
        <v>-0.77543693898943744</v>
      </c>
    </row>
    <row r="44" spans="1:12" s="12" customFormat="1" x14ac:dyDescent="0.25">
      <c r="A44" s="13" t="s">
        <v>115</v>
      </c>
      <c r="B44" s="6" t="s">
        <v>116</v>
      </c>
      <c r="C44" s="11"/>
      <c r="D44" s="12">
        <v>4</v>
      </c>
      <c r="E44" s="12">
        <v>3</v>
      </c>
      <c r="F44" s="12">
        <v>5</v>
      </c>
      <c r="G44" s="12">
        <v>5</v>
      </c>
      <c r="I44" s="12">
        <f t="shared" si="2"/>
        <v>-0.77543693898943744</v>
      </c>
      <c r="J44" s="12">
        <f t="shared" si="3"/>
        <v>-2.2538400750066829</v>
      </c>
      <c r="K44" s="12">
        <f t="shared" si="4"/>
        <v>0.70296619702780794</v>
      </c>
      <c r="L44" s="12">
        <f t="shared" si="5"/>
        <v>0.70296619702780794</v>
      </c>
    </row>
    <row r="45" spans="1:12" s="12" customFormat="1" x14ac:dyDescent="0.25">
      <c r="A45" s="13" t="s">
        <v>117</v>
      </c>
      <c r="B45" s="6" t="s">
        <v>118</v>
      </c>
      <c r="C45" s="11"/>
      <c r="D45" s="12">
        <v>4</v>
      </c>
      <c r="E45" s="12">
        <v>4</v>
      </c>
      <c r="F45" s="12">
        <v>3</v>
      </c>
      <c r="G45" s="12">
        <v>3</v>
      </c>
      <c r="I45" s="12">
        <f t="shared" si="2"/>
        <v>-0.77543693898943744</v>
      </c>
      <c r="J45" s="12">
        <f t="shared" si="3"/>
        <v>-0.77543693898943744</v>
      </c>
      <c r="K45" s="12">
        <f t="shared" si="4"/>
        <v>-2.2538400750066829</v>
      </c>
      <c r="L45" s="12">
        <f t="shared" si="5"/>
        <v>-2.2538400750066829</v>
      </c>
    </row>
    <row r="46" spans="1:12" s="12" customFormat="1" x14ac:dyDescent="0.25">
      <c r="A46" s="6" t="s">
        <v>136</v>
      </c>
      <c r="B46" s="6" t="s">
        <v>137</v>
      </c>
      <c r="C46" s="17">
        <v>42340</v>
      </c>
      <c r="D46" s="12">
        <v>4</v>
      </c>
      <c r="E46" s="12">
        <v>4</v>
      </c>
      <c r="F46" s="12">
        <v>5</v>
      </c>
      <c r="G46" s="12">
        <v>3</v>
      </c>
      <c r="I46" s="12">
        <f t="shared" si="2"/>
        <v>-0.77543693898943744</v>
      </c>
      <c r="J46" s="12">
        <f t="shared" si="3"/>
        <v>-0.77543693898943744</v>
      </c>
      <c r="K46" s="12">
        <f t="shared" si="4"/>
        <v>0.70296619702780794</v>
      </c>
      <c r="L46" s="12">
        <f t="shared" si="5"/>
        <v>-2.2538400750066829</v>
      </c>
    </row>
    <row r="47" spans="1:12" s="12" customFormat="1" x14ac:dyDescent="0.25">
      <c r="A47" s="6"/>
      <c r="B47" s="6"/>
    </row>
    <row r="48" spans="1:12" s="12" customFormat="1" x14ac:dyDescent="0.25">
      <c r="A48" s="1" t="s">
        <v>2</v>
      </c>
      <c r="B48" s="7"/>
      <c r="C48" s="7"/>
    </row>
    <row r="49" spans="1:12" s="12" customFormat="1" x14ac:dyDescent="0.25">
      <c r="A49" s="29" t="s">
        <v>40</v>
      </c>
      <c r="B49" s="6" t="s">
        <v>41</v>
      </c>
      <c r="C49" s="11"/>
      <c r="D49" s="12">
        <v>5</v>
      </c>
      <c r="E49" s="12">
        <v>5</v>
      </c>
      <c r="F49" s="12">
        <v>5</v>
      </c>
      <c r="G49" s="12">
        <v>5</v>
      </c>
      <c r="I49" s="12">
        <f t="shared" si="2"/>
        <v>0.70296619702780794</v>
      </c>
      <c r="J49" s="12">
        <f t="shared" si="3"/>
        <v>0.70296619702780794</v>
      </c>
      <c r="K49" s="12">
        <f t="shared" si="4"/>
        <v>0.70296619702780794</v>
      </c>
      <c r="L49" s="12">
        <f t="shared" si="5"/>
        <v>0.70296619702780794</v>
      </c>
    </row>
    <row r="50" spans="1:12" s="12" customFormat="1" x14ac:dyDescent="0.25">
      <c r="A50" s="13" t="s">
        <v>64</v>
      </c>
      <c r="B50" s="6" t="s">
        <v>65</v>
      </c>
      <c r="C50" s="11"/>
      <c r="D50" s="12">
        <v>4</v>
      </c>
      <c r="E50" s="12">
        <v>4</v>
      </c>
      <c r="F50" s="12">
        <v>5</v>
      </c>
      <c r="G50" s="12">
        <v>4</v>
      </c>
      <c r="I50" s="12">
        <f t="shared" si="2"/>
        <v>-0.77543693898943744</v>
      </c>
      <c r="J50" s="12">
        <f t="shared" si="3"/>
        <v>-0.77543693898943744</v>
      </c>
      <c r="K50" s="12">
        <f t="shared" si="4"/>
        <v>0.70296619702780794</v>
      </c>
      <c r="L50" s="12">
        <f t="shared" si="5"/>
        <v>-0.77543693898943744</v>
      </c>
    </row>
    <row r="51" spans="1:12" s="12" customFormat="1" x14ac:dyDescent="0.25">
      <c r="A51" s="13" t="s">
        <v>99</v>
      </c>
      <c r="B51" s="6" t="s">
        <v>100</v>
      </c>
      <c r="C51" s="11"/>
      <c r="D51" s="12">
        <v>5</v>
      </c>
      <c r="E51" s="12">
        <v>5</v>
      </c>
      <c r="F51" s="12">
        <v>3</v>
      </c>
      <c r="G51" s="12">
        <v>5</v>
      </c>
      <c r="I51" s="12">
        <f t="shared" si="2"/>
        <v>0.70296619702780794</v>
      </c>
      <c r="J51" s="12">
        <f t="shared" si="3"/>
        <v>0.70296619702780794</v>
      </c>
      <c r="K51" s="12">
        <f t="shared" si="4"/>
        <v>-2.2538400750066829</v>
      </c>
      <c r="L51" s="12">
        <f t="shared" si="5"/>
        <v>0.70296619702780794</v>
      </c>
    </row>
    <row r="52" spans="1:12" s="12" customFormat="1" x14ac:dyDescent="0.25">
      <c r="A52" s="13" t="s">
        <v>103</v>
      </c>
      <c r="B52" s="6" t="s">
        <v>104</v>
      </c>
      <c r="C52" s="11"/>
      <c r="D52" s="12">
        <v>5</v>
      </c>
      <c r="E52" s="12">
        <v>4</v>
      </c>
      <c r="F52" s="12">
        <v>4</v>
      </c>
      <c r="G52" s="12">
        <v>3</v>
      </c>
      <c r="I52" s="12">
        <f t="shared" si="2"/>
        <v>0.70296619702780794</v>
      </c>
      <c r="J52" s="12">
        <f t="shared" si="3"/>
        <v>-0.77543693898943744</v>
      </c>
      <c r="K52" s="12">
        <f t="shared" si="4"/>
        <v>-0.77543693898943744</v>
      </c>
      <c r="L52" s="12">
        <f t="shared" si="5"/>
        <v>-2.2538400750066829</v>
      </c>
    </row>
    <row r="53" spans="1:12" s="12" customFormat="1" ht="31.5" x14ac:dyDescent="0.25">
      <c r="A53" s="13" t="s">
        <v>113</v>
      </c>
      <c r="B53" s="6" t="s">
        <v>114</v>
      </c>
      <c r="C53" s="11"/>
      <c r="D53" s="12">
        <v>5</v>
      </c>
      <c r="E53" s="12">
        <v>5</v>
      </c>
      <c r="F53" s="12">
        <v>3</v>
      </c>
      <c r="G53" s="12">
        <v>3</v>
      </c>
      <c r="I53" s="12">
        <f t="shared" si="2"/>
        <v>0.70296619702780794</v>
      </c>
      <c r="J53" s="12">
        <f t="shared" si="3"/>
        <v>0.70296619702780794</v>
      </c>
      <c r="K53" s="12">
        <f t="shared" si="4"/>
        <v>-2.2538400750066829</v>
      </c>
      <c r="L53" s="12">
        <f t="shared" si="5"/>
        <v>-2.2538400750066829</v>
      </c>
    </row>
    <row r="54" spans="1:12" s="12" customFormat="1" ht="31.5" x14ac:dyDescent="0.25">
      <c r="A54" s="29" t="s">
        <v>119</v>
      </c>
      <c r="B54" s="6" t="s">
        <v>120</v>
      </c>
      <c r="C54" s="11"/>
      <c r="D54" s="12">
        <v>4</v>
      </c>
      <c r="E54" s="12">
        <v>4</v>
      </c>
      <c r="F54" s="12">
        <v>5</v>
      </c>
      <c r="G54" s="12">
        <v>4</v>
      </c>
      <c r="I54" s="12">
        <f t="shared" si="2"/>
        <v>-0.77543693898943744</v>
      </c>
      <c r="J54" s="12">
        <f t="shared" si="3"/>
        <v>-0.77543693898943744</v>
      </c>
      <c r="K54" s="12">
        <f t="shared" si="4"/>
        <v>0.70296619702780794</v>
      </c>
      <c r="L54" s="12">
        <f t="shared" si="5"/>
        <v>-0.77543693898943744</v>
      </c>
    </row>
    <row r="55" spans="1:12" s="12" customFormat="1" x14ac:dyDescent="0.25">
      <c r="A55" s="6" t="s">
        <v>161</v>
      </c>
      <c r="B55" s="6" t="s">
        <v>162</v>
      </c>
      <c r="C55" s="17">
        <v>42344</v>
      </c>
      <c r="D55" s="12">
        <v>5</v>
      </c>
      <c r="E55" s="12">
        <v>5</v>
      </c>
      <c r="F55" s="12">
        <v>4</v>
      </c>
      <c r="G55" s="12">
        <v>4</v>
      </c>
      <c r="I55" s="12">
        <f t="shared" si="2"/>
        <v>0.70296619702780794</v>
      </c>
      <c r="J55" s="12">
        <f t="shared" si="3"/>
        <v>0.70296619702780794</v>
      </c>
      <c r="K55" s="12">
        <f t="shared" si="4"/>
        <v>-0.77543693898943744</v>
      </c>
      <c r="L55" s="12">
        <f t="shared" si="5"/>
        <v>-0.77543693898943744</v>
      </c>
    </row>
    <row r="56" spans="1:12" s="12" customFormat="1" x14ac:dyDescent="0.25"/>
    <row r="57" spans="1:12" s="12" customFormat="1" x14ac:dyDescent="0.25">
      <c r="A57" s="32" t="s">
        <v>18</v>
      </c>
      <c r="B57" s="7"/>
      <c r="C57" s="7"/>
    </row>
    <row r="58" spans="1:12" s="12" customFormat="1" ht="31.5" x14ac:dyDescent="0.25">
      <c r="A58" s="33" t="s">
        <v>29</v>
      </c>
      <c r="B58" s="6" t="s">
        <v>30</v>
      </c>
      <c r="C58" s="11"/>
    </row>
    <row r="59" spans="1:12" s="12" customFormat="1" x14ac:dyDescent="0.25">
      <c r="A59" s="33" t="s">
        <v>66</v>
      </c>
      <c r="B59" s="6" t="s">
        <v>24</v>
      </c>
      <c r="C59" s="11"/>
    </row>
    <row r="60" spans="1:12" s="12" customFormat="1" x14ac:dyDescent="0.25">
      <c r="A60" s="33" t="s">
        <v>67</v>
      </c>
      <c r="B60" s="6" t="s">
        <v>55</v>
      </c>
      <c r="C60" s="11"/>
    </row>
    <row r="61" spans="1:12" s="12" customFormat="1" x14ac:dyDescent="0.25">
      <c r="A61" s="33" t="s">
        <v>89</v>
      </c>
      <c r="B61" s="6" t="s">
        <v>90</v>
      </c>
      <c r="C61" s="11"/>
    </row>
    <row r="62" spans="1:12" s="12" customFormat="1" x14ac:dyDescent="0.25">
      <c r="A62" s="33" t="s">
        <v>125</v>
      </c>
      <c r="B62" s="6" t="s">
        <v>126</v>
      </c>
      <c r="C62" s="11"/>
    </row>
    <row r="63" spans="1:12" s="12" customFormat="1" x14ac:dyDescent="0.25">
      <c r="A63" s="33" t="s">
        <v>127</v>
      </c>
      <c r="B63" s="6" t="s">
        <v>128</v>
      </c>
      <c r="C63" s="11"/>
    </row>
    <row r="64" spans="1:12" s="12" customFormat="1" x14ac:dyDescent="0.25">
      <c r="A64" s="33" t="s">
        <v>129</v>
      </c>
      <c r="B64" s="6" t="s">
        <v>130</v>
      </c>
      <c r="C64" s="11"/>
    </row>
    <row r="65" spans="1:12" s="12" customFormat="1" x14ac:dyDescent="0.25">
      <c r="A65" s="31" t="s">
        <v>138</v>
      </c>
      <c r="B65" s="6" t="s">
        <v>139</v>
      </c>
      <c r="C65" s="17">
        <v>42349</v>
      </c>
    </row>
    <row r="66" spans="1:12" s="12" customFormat="1" x14ac:dyDescent="0.25">
      <c r="A66" s="31" t="s">
        <v>140</v>
      </c>
      <c r="B66" s="6" t="s">
        <v>141</v>
      </c>
      <c r="C66" s="11"/>
    </row>
    <row r="67" spans="1:12" s="12" customFormat="1" x14ac:dyDescent="0.25">
      <c r="A67" s="31" t="s">
        <v>151</v>
      </c>
      <c r="B67" s="6" t="s">
        <v>152</v>
      </c>
      <c r="C67" s="17">
        <v>42341</v>
      </c>
    </row>
    <row r="68" spans="1:12" s="12" customFormat="1" x14ac:dyDescent="0.25">
      <c r="A68" s="31" t="s">
        <v>157</v>
      </c>
      <c r="B68" s="6" t="s">
        <v>158</v>
      </c>
      <c r="C68" s="17">
        <v>42341</v>
      </c>
    </row>
    <row r="69" spans="1:12" s="12" customFormat="1" x14ac:dyDescent="0.25">
      <c r="A69" s="31" t="s">
        <v>159</v>
      </c>
      <c r="B69" s="6" t="s">
        <v>160</v>
      </c>
      <c r="C69" s="17">
        <v>42346</v>
      </c>
    </row>
    <row r="70" spans="1:12" s="12" customFormat="1" x14ac:dyDescent="0.25">
      <c r="A70" s="31" t="s">
        <v>168</v>
      </c>
      <c r="B70" s="6" t="s">
        <v>169</v>
      </c>
      <c r="C70" s="17">
        <v>42350</v>
      </c>
    </row>
    <row r="71" spans="1:12" s="12" customFormat="1" x14ac:dyDescent="0.25">
      <c r="A71" s="6"/>
      <c r="B71" s="6"/>
      <c r="C71" s="11"/>
    </row>
    <row r="72" spans="1:12" s="12" customFormat="1" x14ac:dyDescent="0.25">
      <c r="A72" s="1" t="s">
        <v>19</v>
      </c>
      <c r="B72" s="11"/>
      <c r="C72" s="11"/>
    </row>
    <row r="73" spans="1:12" s="12" customFormat="1" x14ac:dyDescent="0.25">
      <c r="A73" s="13" t="s">
        <v>46</v>
      </c>
      <c r="B73" s="6" t="s">
        <v>47</v>
      </c>
      <c r="C73" s="11"/>
      <c r="D73" s="12">
        <v>5</v>
      </c>
      <c r="E73" s="12">
        <v>5</v>
      </c>
      <c r="F73" s="12">
        <v>3</v>
      </c>
      <c r="G73" s="12">
        <v>4</v>
      </c>
      <c r="I73" s="12">
        <f t="shared" ref="I73:I78" si="6">STANDARDIZE(D73,$I$1,$K$1)</f>
        <v>0.70296619702780794</v>
      </c>
      <c r="J73" s="12">
        <f t="shared" ref="J73:J78" si="7">STANDARDIZE(E73,$I$1,$K$1)</f>
        <v>0.70296619702780794</v>
      </c>
      <c r="K73" s="12">
        <f t="shared" ref="K73:K78" si="8">STANDARDIZE(F73,$I$1,$K$1)</f>
        <v>-2.2538400750066829</v>
      </c>
      <c r="L73" s="12">
        <f t="shared" ref="L73:L78" si="9">STANDARDIZE(G73,$I$1,$K$1)</f>
        <v>-0.77543693898943744</v>
      </c>
    </row>
    <row r="74" spans="1:12" s="12" customFormat="1" x14ac:dyDescent="0.25">
      <c r="A74" s="6" t="s">
        <v>142</v>
      </c>
      <c r="B74" s="6" t="s">
        <v>143</v>
      </c>
      <c r="C74" s="17">
        <v>42342</v>
      </c>
      <c r="D74" s="12">
        <v>5</v>
      </c>
      <c r="E74" s="12">
        <v>5</v>
      </c>
      <c r="F74" s="12">
        <v>5</v>
      </c>
      <c r="G74" s="12">
        <v>4</v>
      </c>
      <c r="I74" s="12">
        <f t="shared" si="6"/>
        <v>0.70296619702780794</v>
      </c>
      <c r="J74" s="12">
        <f t="shared" si="7"/>
        <v>0.70296619702780794</v>
      </c>
      <c r="K74" s="12">
        <f t="shared" si="8"/>
        <v>0.70296619702780794</v>
      </c>
      <c r="L74" s="12">
        <f t="shared" si="9"/>
        <v>-0.77543693898943744</v>
      </c>
    </row>
    <row r="75" spans="1:12" s="12" customFormat="1" x14ac:dyDescent="0.25">
      <c r="A75" s="30" t="s">
        <v>144</v>
      </c>
      <c r="B75" s="6" t="s">
        <v>55</v>
      </c>
      <c r="C75" s="17">
        <v>42344</v>
      </c>
      <c r="D75" s="12">
        <v>5</v>
      </c>
      <c r="E75" s="12">
        <v>5</v>
      </c>
      <c r="F75" s="12">
        <v>5</v>
      </c>
      <c r="G75" s="12">
        <v>5</v>
      </c>
      <c r="I75" s="12">
        <f t="shared" si="6"/>
        <v>0.70296619702780794</v>
      </c>
      <c r="J75" s="12">
        <f t="shared" si="7"/>
        <v>0.70296619702780794</v>
      </c>
      <c r="K75" s="12">
        <f t="shared" si="8"/>
        <v>0.70296619702780794</v>
      </c>
      <c r="L75" s="12">
        <f t="shared" si="9"/>
        <v>0.70296619702780794</v>
      </c>
    </row>
    <row r="76" spans="1:12" s="12" customFormat="1" x14ac:dyDescent="0.25">
      <c r="A76" s="6" t="s">
        <v>147</v>
      </c>
      <c r="B76" s="6" t="s">
        <v>148</v>
      </c>
      <c r="C76" s="17">
        <v>42347</v>
      </c>
      <c r="D76" s="12">
        <v>5</v>
      </c>
      <c r="E76" s="12">
        <v>5</v>
      </c>
      <c r="F76" s="12">
        <v>5</v>
      </c>
      <c r="G76" s="12">
        <v>5</v>
      </c>
      <c r="I76" s="12">
        <f t="shared" si="6"/>
        <v>0.70296619702780794</v>
      </c>
      <c r="J76" s="12">
        <f t="shared" si="7"/>
        <v>0.70296619702780794</v>
      </c>
      <c r="K76" s="12">
        <f t="shared" si="8"/>
        <v>0.70296619702780794</v>
      </c>
      <c r="L76" s="12">
        <f t="shared" si="9"/>
        <v>0.70296619702780794</v>
      </c>
    </row>
    <row r="77" spans="1:12" s="12" customFormat="1" x14ac:dyDescent="0.25">
      <c r="A77" s="6" t="s">
        <v>149</v>
      </c>
      <c r="B77" s="6" t="s">
        <v>150</v>
      </c>
      <c r="C77" s="17">
        <v>42346</v>
      </c>
      <c r="D77" s="12">
        <v>4</v>
      </c>
      <c r="E77" s="12">
        <v>5</v>
      </c>
      <c r="F77" s="12">
        <v>3</v>
      </c>
      <c r="G77" s="12">
        <v>3</v>
      </c>
      <c r="I77" s="12">
        <f t="shared" si="6"/>
        <v>-0.77543693898943744</v>
      </c>
      <c r="J77" s="12">
        <f t="shared" si="7"/>
        <v>0.70296619702780794</v>
      </c>
      <c r="K77" s="12">
        <f t="shared" si="8"/>
        <v>-2.2538400750066829</v>
      </c>
      <c r="L77" s="12">
        <f t="shared" si="9"/>
        <v>-2.2538400750066829</v>
      </c>
    </row>
    <row r="78" spans="1:12" s="12" customFormat="1" x14ac:dyDescent="0.25">
      <c r="A78" s="6" t="s">
        <v>155</v>
      </c>
      <c r="B78" s="6" t="s">
        <v>156</v>
      </c>
      <c r="C78" s="17">
        <v>42348</v>
      </c>
      <c r="D78" s="12">
        <v>5</v>
      </c>
      <c r="E78" s="12">
        <v>5</v>
      </c>
      <c r="F78" s="12">
        <v>4</v>
      </c>
      <c r="G78" s="12">
        <v>5</v>
      </c>
      <c r="I78" s="12">
        <f t="shared" si="6"/>
        <v>0.70296619702780794</v>
      </c>
      <c r="J78" s="12">
        <f t="shared" si="7"/>
        <v>0.70296619702780794</v>
      </c>
      <c r="K78" s="12">
        <f t="shared" si="8"/>
        <v>-0.77543693898943744</v>
      </c>
      <c r="L78" s="12">
        <f t="shared" si="9"/>
        <v>0.70296619702780794</v>
      </c>
    </row>
    <row r="79" spans="1:12" s="12" customFormat="1" x14ac:dyDescent="0.25">
      <c r="A79" s="11"/>
      <c r="B79" s="11"/>
      <c r="C79" s="11"/>
    </row>
    <row r="80" spans="1:12" s="12" customFormat="1" x14ac:dyDescent="0.25">
      <c r="A80" s="32" t="s">
        <v>20</v>
      </c>
      <c r="B80" s="11"/>
      <c r="C80" s="11"/>
    </row>
    <row r="81" spans="1:7" s="12" customFormat="1" x14ac:dyDescent="0.25">
      <c r="A81" s="33" t="s">
        <v>34</v>
      </c>
      <c r="B81" s="6" t="s">
        <v>35</v>
      </c>
      <c r="C81" s="11"/>
    </row>
    <row r="82" spans="1:7" s="12" customFormat="1" x14ac:dyDescent="0.25">
      <c r="A82" s="33" t="s">
        <v>52</v>
      </c>
      <c r="B82" s="6" t="s">
        <v>53</v>
      </c>
      <c r="C82" s="11"/>
    </row>
    <row r="83" spans="1:7" s="12" customFormat="1" x14ac:dyDescent="0.25">
      <c r="A83" s="33" t="s">
        <v>58</v>
      </c>
      <c r="B83" s="6" t="s">
        <v>59</v>
      </c>
      <c r="C83" s="11"/>
    </row>
    <row r="84" spans="1:7" s="12" customFormat="1" x14ac:dyDescent="0.25">
      <c r="A84" s="33" t="s">
        <v>62</v>
      </c>
      <c r="B84" s="6" t="s">
        <v>63</v>
      </c>
      <c r="C84" s="11"/>
    </row>
    <row r="85" spans="1:7" s="12" customFormat="1" x14ac:dyDescent="0.25">
      <c r="A85" s="33" t="s">
        <v>68</v>
      </c>
      <c r="B85" s="6" t="s">
        <v>69</v>
      </c>
      <c r="C85" s="11"/>
    </row>
    <row r="86" spans="1:7" s="12" customFormat="1" x14ac:dyDescent="0.25">
      <c r="A86" s="33" t="s">
        <v>72</v>
      </c>
      <c r="B86" s="6" t="s">
        <v>73</v>
      </c>
      <c r="C86" s="11"/>
    </row>
    <row r="87" spans="1:7" s="12" customFormat="1" x14ac:dyDescent="0.25">
      <c r="A87" s="33" t="s">
        <v>74</v>
      </c>
      <c r="B87" s="6" t="s">
        <v>75</v>
      </c>
      <c r="C87" s="11"/>
    </row>
    <row r="88" spans="1:7" s="12" customFormat="1" x14ac:dyDescent="0.25">
      <c r="A88" s="33" t="s">
        <v>83</v>
      </c>
      <c r="B88" s="6" t="s">
        <v>84</v>
      </c>
      <c r="C88" s="11"/>
    </row>
    <row r="89" spans="1:7" s="12" customFormat="1" x14ac:dyDescent="0.25">
      <c r="A89" s="33" t="s">
        <v>87</v>
      </c>
      <c r="B89" s="6" t="s">
        <v>88</v>
      </c>
      <c r="C89" s="11"/>
    </row>
    <row r="90" spans="1:7" s="12" customFormat="1" x14ac:dyDescent="0.25">
      <c r="A90" s="33" t="s">
        <v>93</v>
      </c>
      <c r="B90" s="6" t="s">
        <v>94</v>
      </c>
      <c r="C90" s="11"/>
    </row>
    <row r="91" spans="1:7" s="12" customFormat="1" x14ac:dyDescent="0.25">
      <c r="A91" s="33" t="s">
        <v>105</v>
      </c>
      <c r="B91" s="6" t="s">
        <v>106</v>
      </c>
      <c r="C91" s="11"/>
    </row>
    <row r="92" spans="1:7" s="12" customFormat="1" x14ac:dyDescent="0.25">
      <c r="A92" s="31" t="s">
        <v>131</v>
      </c>
      <c r="B92" s="6" t="s">
        <v>57</v>
      </c>
      <c r="C92" s="11"/>
    </row>
    <row r="93" spans="1:7" s="12" customFormat="1" x14ac:dyDescent="0.25">
      <c r="A93" s="31" t="s">
        <v>132</v>
      </c>
      <c r="B93" s="6" t="s">
        <v>133</v>
      </c>
      <c r="C93" s="11"/>
    </row>
    <row r="94" spans="1:7" s="12" customFormat="1" x14ac:dyDescent="0.25">
      <c r="A94" s="34"/>
    </row>
    <row r="95" spans="1:7" x14ac:dyDescent="0.25">
      <c r="A95" s="35" t="s">
        <v>8</v>
      </c>
      <c r="B95" s="9"/>
      <c r="C95" s="15"/>
      <c r="D95" s="9"/>
      <c r="E95" s="9"/>
      <c r="F95" s="9"/>
      <c r="G95" s="9"/>
    </row>
    <row r="96" spans="1:7" x14ac:dyDescent="0.25">
      <c r="A96" s="36" t="s">
        <v>9</v>
      </c>
      <c r="C96" s="12"/>
    </row>
    <row r="97" spans="1:3" x14ac:dyDescent="0.25">
      <c r="A97" s="36" t="s">
        <v>10</v>
      </c>
      <c r="C97" s="12"/>
    </row>
    <row r="98" spans="1:3" x14ac:dyDescent="0.25">
      <c r="A98" s="36" t="s">
        <v>11</v>
      </c>
      <c r="C98" s="12"/>
    </row>
    <row r="99" spans="1:3" x14ac:dyDescent="0.25">
      <c r="A99" s="36" t="s">
        <v>12</v>
      </c>
      <c r="C99" s="12"/>
    </row>
    <row r="100" spans="1:3" x14ac:dyDescent="0.25">
      <c r="A100" s="36" t="s">
        <v>13</v>
      </c>
      <c r="C100" s="12"/>
    </row>
    <row r="101" spans="1:3" x14ac:dyDescent="0.25">
      <c r="C101" s="12"/>
    </row>
    <row r="102" spans="1:3" x14ac:dyDescent="0.25">
      <c r="C102" s="12"/>
    </row>
    <row r="103" spans="1:3" x14ac:dyDescent="0.25">
      <c r="C103" s="12"/>
    </row>
    <row r="104" spans="1:3" x14ac:dyDescent="0.25">
      <c r="C104" s="12"/>
    </row>
    <row r="105" spans="1:3" x14ac:dyDescent="0.25">
      <c r="C105" s="12"/>
    </row>
    <row r="106" spans="1:3" x14ac:dyDescent="0.25">
      <c r="C106" s="12"/>
    </row>
    <row r="107" spans="1:3" x14ac:dyDescent="0.25">
      <c r="C107" s="12"/>
    </row>
    <row r="108" spans="1:3" x14ac:dyDescent="0.25">
      <c r="C108" s="12"/>
    </row>
    <row r="109" spans="1:3" x14ac:dyDescent="0.25">
      <c r="C109" s="12"/>
    </row>
    <row r="110" spans="1:3" x14ac:dyDescent="0.25">
      <c r="C110" s="12"/>
    </row>
    <row r="111" spans="1:3" x14ac:dyDescent="0.25">
      <c r="C111" s="12"/>
    </row>
    <row r="112" spans="1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12">
    <mergeCell ref="I2:L2"/>
    <mergeCell ref="I7:I8"/>
    <mergeCell ref="J7:J8"/>
    <mergeCell ref="K7:K8"/>
    <mergeCell ref="L7:L8"/>
    <mergeCell ref="B1:G1"/>
    <mergeCell ref="D2:G2"/>
    <mergeCell ref="C7:C8"/>
    <mergeCell ref="D7:D8"/>
    <mergeCell ref="E7:E8"/>
    <mergeCell ref="F7:F8"/>
    <mergeCell ref="G7:G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  <pageSetup paperSize="9" orientation="portrait" r:id="rId15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A68" workbookViewId="0">
      <selection activeCell="A50" sqref="A50"/>
    </sheetView>
  </sheetViews>
  <sheetFormatPr defaultColWidth="11" defaultRowHeight="15.75" x14ac:dyDescent="0.25"/>
  <cols>
    <col min="1" max="1" width="81.875" customWidth="1"/>
    <col min="2" max="2" width="23" customWidth="1"/>
    <col min="3" max="3" width="14" customWidth="1"/>
    <col min="4" max="4" width="14.375" customWidth="1"/>
    <col min="5" max="5" width="13.875" customWidth="1"/>
    <col min="6" max="6" width="14.875" customWidth="1"/>
    <col min="7" max="7" width="16.625" customWidth="1"/>
    <col min="9" max="9" width="16.375" customWidth="1"/>
    <col min="10" max="10" width="14.375" customWidth="1"/>
    <col min="11" max="11" width="13.375" customWidth="1"/>
  </cols>
  <sheetData>
    <row r="1" spans="1:12" x14ac:dyDescent="0.25">
      <c r="A1" s="1" t="s">
        <v>179</v>
      </c>
      <c r="B1" s="104" t="s">
        <v>180</v>
      </c>
      <c r="C1" s="104"/>
      <c r="D1" s="104"/>
      <c r="E1" s="104"/>
      <c r="F1" s="104"/>
      <c r="G1" s="104"/>
      <c r="H1" t="s">
        <v>174</v>
      </c>
      <c r="I1">
        <f>AVERAGE(D6:G78)</f>
        <v>4.7205882352941178</v>
      </c>
      <c r="J1" t="s">
        <v>177</v>
      </c>
      <c r="K1">
        <f>_xlfn.STDEV.S(D6:G78)</f>
        <v>0.47120811824325354</v>
      </c>
    </row>
    <row r="2" spans="1:12" x14ac:dyDescent="0.25">
      <c r="D2" s="102" t="s">
        <v>16</v>
      </c>
      <c r="E2" s="102"/>
      <c r="F2" s="102"/>
      <c r="G2" s="102"/>
      <c r="I2" s="109" t="s">
        <v>214</v>
      </c>
      <c r="J2" s="109"/>
      <c r="K2" s="109"/>
      <c r="L2" s="109"/>
    </row>
    <row r="3" spans="1:12" s="27" customFormat="1" ht="18.75" x14ac:dyDescent="0.3">
      <c r="A3" s="10" t="s">
        <v>3</v>
      </c>
      <c r="B3" s="10" t="s">
        <v>4</v>
      </c>
      <c r="C3" s="10" t="s">
        <v>17</v>
      </c>
      <c r="D3" s="10" t="s">
        <v>15</v>
      </c>
      <c r="E3" s="10" t="s">
        <v>7</v>
      </c>
      <c r="F3" s="10" t="s">
        <v>5</v>
      </c>
      <c r="G3" s="10" t="s">
        <v>6</v>
      </c>
      <c r="I3" s="10" t="str">
        <f>D3</f>
        <v>Актуальность темы</v>
      </c>
      <c r="J3" s="10" t="str">
        <f t="shared" ref="J3:L3" si="0">E3</f>
        <v>Научная состовляющая</v>
      </c>
      <c r="K3" s="10" t="str">
        <f t="shared" si="0"/>
        <v>Доступность изложения</v>
      </c>
      <c r="L3" s="10" t="str">
        <f t="shared" si="0"/>
        <v>Авторский стиль</v>
      </c>
    </row>
    <row r="4" spans="1:12" s="27" customFormat="1" ht="18.75" x14ac:dyDescent="0.3">
      <c r="A4" s="28"/>
      <c r="B4" s="28"/>
      <c r="C4" s="16"/>
      <c r="D4" s="28"/>
      <c r="E4" s="28"/>
      <c r="F4" s="28"/>
      <c r="G4" s="28"/>
    </row>
    <row r="5" spans="1:12" s="12" customFormat="1" x14ac:dyDescent="0.25">
      <c r="A5" s="1" t="s">
        <v>0</v>
      </c>
    </row>
    <row r="6" spans="1:12" s="12" customFormat="1" x14ac:dyDescent="0.25">
      <c r="A6" s="13" t="s">
        <v>21</v>
      </c>
      <c r="B6" s="6" t="s">
        <v>22</v>
      </c>
      <c r="C6" s="11"/>
      <c r="D6" s="12">
        <v>4</v>
      </c>
      <c r="E6" s="12">
        <v>4</v>
      </c>
      <c r="F6" s="12">
        <v>5</v>
      </c>
      <c r="G6" s="12">
        <v>5</v>
      </c>
      <c r="I6" s="12">
        <f>STANDARDIZE(D6,$I$1,$K$1)</f>
        <v>-1.5292356124520881</v>
      </c>
      <c r="J6" s="12">
        <f t="shared" ref="J6:L6" si="1">STANDARDIZE(E6,$I$1,$K$1)</f>
        <v>-1.5292356124520881</v>
      </c>
      <c r="K6" s="12">
        <f t="shared" si="1"/>
        <v>0.59296891095080939</v>
      </c>
      <c r="L6" s="12">
        <f t="shared" si="1"/>
        <v>0.59296891095080939</v>
      </c>
    </row>
    <row r="7" spans="1:12" s="12" customFormat="1" x14ac:dyDescent="0.25">
      <c r="A7" s="14" t="s">
        <v>31</v>
      </c>
      <c r="B7" s="6" t="s">
        <v>32</v>
      </c>
      <c r="C7" s="105"/>
      <c r="D7" s="100">
        <v>4</v>
      </c>
      <c r="E7" s="100">
        <v>5</v>
      </c>
      <c r="F7" s="100">
        <v>5</v>
      </c>
      <c r="G7" s="100">
        <v>4</v>
      </c>
      <c r="I7" s="100">
        <f t="shared" ref="I7:I55" si="2">STANDARDIZE(D7,$I$1,$K$1)</f>
        <v>-1.5292356124520881</v>
      </c>
      <c r="J7" s="100">
        <f t="shared" ref="J7:J55" si="3">STANDARDIZE(E7,$I$1,$K$1)</f>
        <v>0.59296891095080939</v>
      </c>
      <c r="K7" s="100">
        <f t="shared" ref="K7:K55" si="4">STANDARDIZE(F7,$I$1,$K$1)</f>
        <v>0.59296891095080939</v>
      </c>
      <c r="L7" s="100">
        <f t="shared" ref="L7:L55" si="5">STANDARDIZE(G7,$I$1,$K$1)</f>
        <v>-1.5292356124520881</v>
      </c>
    </row>
    <row r="8" spans="1:12" s="12" customFormat="1" x14ac:dyDescent="0.25">
      <c r="A8" s="13" t="s">
        <v>33</v>
      </c>
      <c r="B8" s="6" t="s">
        <v>32</v>
      </c>
      <c r="C8" s="105"/>
      <c r="D8" s="100"/>
      <c r="E8" s="100"/>
      <c r="F8" s="100"/>
      <c r="G8" s="100"/>
      <c r="I8" s="100"/>
      <c r="J8" s="100"/>
      <c r="K8" s="100"/>
      <c r="L8" s="100"/>
    </row>
    <row r="9" spans="1:12" s="12" customFormat="1" x14ac:dyDescent="0.25">
      <c r="A9" s="13" t="s">
        <v>36</v>
      </c>
      <c r="B9" s="6" t="s">
        <v>37</v>
      </c>
      <c r="C9" s="11"/>
      <c r="D9" s="12">
        <v>4</v>
      </c>
      <c r="E9" s="12">
        <v>4</v>
      </c>
      <c r="F9" s="12">
        <v>5</v>
      </c>
      <c r="G9" s="12">
        <v>5</v>
      </c>
      <c r="I9" s="12">
        <f t="shared" si="2"/>
        <v>-1.5292356124520881</v>
      </c>
      <c r="J9" s="12">
        <f t="shared" si="3"/>
        <v>-1.5292356124520881</v>
      </c>
      <c r="K9" s="12">
        <f t="shared" si="4"/>
        <v>0.59296891095080939</v>
      </c>
      <c r="L9" s="12">
        <f t="shared" si="5"/>
        <v>0.59296891095080939</v>
      </c>
    </row>
    <row r="10" spans="1:12" s="12" customFormat="1" x14ac:dyDescent="0.25">
      <c r="A10" s="13" t="s">
        <v>38</v>
      </c>
      <c r="B10" s="6" t="s">
        <v>39</v>
      </c>
      <c r="C10" s="11"/>
      <c r="D10" s="12">
        <v>5</v>
      </c>
      <c r="E10" s="12">
        <v>5</v>
      </c>
      <c r="F10" s="12">
        <v>4</v>
      </c>
      <c r="G10" s="12">
        <v>5</v>
      </c>
      <c r="I10" s="12">
        <f t="shared" si="2"/>
        <v>0.59296891095080939</v>
      </c>
      <c r="J10" s="12">
        <f t="shared" si="3"/>
        <v>0.59296891095080939</v>
      </c>
      <c r="K10" s="12">
        <f t="shared" si="4"/>
        <v>-1.5292356124520881</v>
      </c>
      <c r="L10" s="12">
        <f t="shared" si="5"/>
        <v>0.59296891095080939</v>
      </c>
    </row>
    <row r="11" spans="1:12" s="12" customFormat="1" x14ac:dyDescent="0.25">
      <c r="A11" s="13" t="s">
        <v>42</v>
      </c>
      <c r="B11" s="6" t="s">
        <v>43</v>
      </c>
      <c r="C11" s="11"/>
      <c r="D11" s="12">
        <v>5</v>
      </c>
      <c r="E11" s="12">
        <v>5</v>
      </c>
      <c r="F11" s="12">
        <v>5</v>
      </c>
      <c r="G11" s="12">
        <v>5</v>
      </c>
      <c r="I11" s="12">
        <f t="shared" si="2"/>
        <v>0.59296891095080939</v>
      </c>
      <c r="J11" s="12">
        <f t="shared" si="3"/>
        <v>0.59296891095080939</v>
      </c>
      <c r="K11" s="12">
        <f t="shared" si="4"/>
        <v>0.59296891095080939</v>
      </c>
      <c r="L11" s="12">
        <f t="shared" si="5"/>
        <v>0.59296891095080939</v>
      </c>
    </row>
    <row r="12" spans="1:12" s="12" customFormat="1" x14ac:dyDescent="0.25">
      <c r="A12" s="13" t="s">
        <v>44</v>
      </c>
      <c r="B12" s="6" t="s">
        <v>45</v>
      </c>
      <c r="C12" s="11"/>
      <c r="D12" s="12">
        <v>4</v>
      </c>
      <c r="E12" s="12">
        <v>4</v>
      </c>
      <c r="F12" s="12">
        <v>5</v>
      </c>
      <c r="G12" s="12">
        <v>4</v>
      </c>
      <c r="I12" s="12">
        <f t="shared" si="2"/>
        <v>-1.5292356124520881</v>
      </c>
      <c r="J12" s="12">
        <f t="shared" si="3"/>
        <v>-1.5292356124520881</v>
      </c>
      <c r="K12" s="12">
        <f t="shared" si="4"/>
        <v>0.59296891095080939</v>
      </c>
      <c r="L12" s="12">
        <f t="shared" si="5"/>
        <v>-1.5292356124520881</v>
      </c>
    </row>
    <row r="13" spans="1:12" s="12" customFormat="1" x14ac:dyDescent="0.25">
      <c r="A13" s="13" t="s">
        <v>50</v>
      </c>
      <c r="B13" s="6" t="s">
        <v>51</v>
      </c>
      <c r="C13" s="11"/>
      <c r="D13" s="12">
        <v>5</v>
      </c>
      <c r="E13" s="12">
        <v>5</v>
      </c>
      <c r="F13" s="12">
        <v>5</v>
      </c>
      <c r="G13" s="12">
        <v>4</v>
      </c>
      <c r="I13" s="12">
        <f t="shared" si="2"/>
        <v>0.59296891095080939</v>
      </c>
      <c r="J13" s="12">
        <f t="shared" si="3"/>
        <v>0.59296891095080939</v>
      </c>
      <c r="K13" s="12">
        <f t="shared" si="4"/>
        <v>0.59296891095080939</v>
      </c>
      <c r="L13" s="12">
        <f t="shared" si="5"/>
        <v>-1.5292356124520881</v>
      </c>
    </row>
    <row r="14" spans="1:12" s="12" customFormat="1" x14ac:dyDescent="0.25">
      <c r="A14" s="13" t="s">
        <v>54</v>
      </c>
      <c r="B14" s="6" t="s">
        <v>55</v>
      </c>
      <c r="C14" s="11"/>
      <c r="D14" s="12">
        <v>5</v>
      </c>
      <c r="E14" s="12">
        <v>5</v>
      </c>
      <c r="F14" s="12">
        <v>5</v>
      </c>
      <c r="G14" s="12">
        <v>5</v>
      </c>
      <c r="I14" s="12">
        <f t="shared" si="2"/>
        <v>0.59296891095080939</v>
      </c>
      <c r="J14" s="12">
        <f t="shared" si="3"/>
        <v>0.59296891095080939</v>
      </c>
      <c r="K14" s="12">
        <f t="shared" si="4"/>
        <v>0.59296891095080939</v>
      </c>
      <c r="L14" s="12">
        <f t="shared" si="5"/>
        <v>0.59296891095080939</v>
      </c>
    </row>
    <row r="15" spans="1:12" s="12" customFormat="1" x14ac:dyDescent="0.25">
      <c r="A15" s="13" t="s">
        <v>56</v>
      </c>
      <c r="B15" s="6" t="s">
        <v>57</v>
      </c>
      <c r="C15" s="11"/>
      <c r="D15" s="12">
        <v>5</v>
      </c>
      <c r="E15" s="12">
        <v>4</v>
      </c>
      <c r="F15" s="12">
        <v>5</v>
      </c>
      <c r="G15" s="12">
        <v>5</v>
      </c>
      <c r="I15" s="12">
        <f t="shared" si="2"/>
        <v>0.59296891095080939</v>
      </c>
      <c r="J15" s="12">
        <f t="shared" si="3"/>
        <v>-1.5292356124520881</v>
      </c>
      <c r="K15" s="12">
        <f t="shared" si="4"/>
        <v>0.59296891095080939</v>
      </c>
      <c r="L15" s="12">
        <f t="shared" si="5"/>
        <v>0.59296891095080939</v>
      </c>
    </row>
    <row r="16" spans="1:12" x14ac:dyDescent="0.25">
      <c r="A16" s="14" t="s">
        <v>60</v>
      </c>
      <c r="B16" s="6" t="s">
        <v>61</v>
      </c>
      <c r="C16" s="12"/>
      <c r="D16" s="12">
        <v>5</v>
      </c>
      <c r="E16" s="12">
        <v>5</v>
      </c>
      <c r="F16" s="12">
        <v>5</v>
      </c>
      <c r="G16" s="12">
        <v>5</v>
      </c>
      <c r="I16" s="12">
        <f t="shared" si="2"/>
        <v>0.59296891095080939</v>
      </c>
      <c r="J16" s="12">
        <f t="shared" si="3"/>
        <v>0.59296891095080939</v>
      </c>
      <c r="K16" s="12">
        <f t="shared" si="4"/>
        <v>0.59296891095080939</v>
      </c>
      <c r="L16" s="12">
        <f t="shared" si="5"/>
        <v>0.59296891095080939</v>
      </c>
    </row>
    <row r="17" spans="1:12" s="12" customFormat="1" x14ac:dyDescent="0.25">
      <c r="A17" s="13" t="s">
        <v>70</v>
      </c>
      <c r="B17" s="6" t="s">
        <v>71</v>
      </c>
      <c r="C17" s="11"/>
      <c r="D17" s="12">
        <v>5</v>
      </c>
      <c r="E17" s="12">
        <v>4</v>
      </c>
      <c r="F17" s="12">
        <v>5</v>
      </c>
      <c r="G17" s="12">
        <v>5</v>
      </c>
      <c r="I17" s="12">
        <f t="shared" si="2"/>
        <v>0.59296891095080939</v>
      </c>
      <c r="J17" s="12">
        <f t="shared" si="3"/>
        <v>-1.5292356124520881</v>
      </c>
      <c r="K17" s="12">
        <f t="shared" si="4"/>
        <v>0.59296891095080939</v>
      </c>
      <c r="L17" s="12">
        <f t="shared" si="5"/>
        <v>0.59296891095080939</v>
      </c>
    </row>
    <row r="18" spans="1:12" s="12" customFormat="1" x14ac:dyDescent="0.25">
      <c r="A18" s="13" t="s">
        <v>78</v>
      </c>
      <c r="B18" s="6" t="s">
        <v>53</v>
      </c>
      <c r="C18" s="11"/>
      <c r="D18" s="12">
        <v>5</v>
      </c>
      <c r="E18" s="12">
        <v>5</v>
      </c>
      <c r="F18" s="12">
        <v>4</v>
      </c>
      <c r="G18" s="12">
        <v>5</v>
      </c>
      <c r="I18" s="12">
        <f t="shared" si="2"/>
        <v>0.59296891095080939</v>
      </c>
      <c r="J18" s="12">
        <f t="shared" si="3"/>
        <v>0.59296891095080939</v>
      </c>
      <c r="K18" s="12">
        <f t="shared" si="4"/>
        <v>-1.5292356124520881</v>
      </c>
      <c r="L18" s="12">
        <f t="shared" si="5"/>
        <v>0.59296891095080939</v>
      </c>
    </row>
    <row r="19" spans="1:12" s="12" customFormat="1" x14ac:dyDescent="0.25">
      <c r="A19" s="13" t="s">
        <v>79</v>
      </c>
      <c r="B19" s="6" t="s">
        <v>80</v>
      </c>
      <c r="C19" s="11"/>
      <c r="D19" s="12">
        <v>5</v>
      </c>
      <c r="E19" s="12">
        <v>5</v>
      </c>
      <c r="F19" s="12">
        <v>4</v>
      </c>
      <c r="G19" s="12">
        <v>5</v>
      </c>
      <c r="I19" s="12">
        <f t="shared" si="2"/>
        <v>0.59296891095080939</v>
      </c>
      <c r="J19" s="12">
        <f t="shared" si="3"/>
        <v>0.59296891095080939</v>
      </c>
      <c r="K19" s="12">
        <f t="shared" si="4"/>
        <v>-1.5292356124520881</v>
      </c>
      <c r="L19" s="12">
        <f t="shared" si="5"/>
        <v>0.59296891095080939</v>
      </c>
    </row>
    <row r="20" spans="1:12" s="12" customFormat="1" x14ac:dyDescent="0.25">
      <c r="A20" s="13" t="s">
        <v>81</v>
      </c>
      <c r="B20" s="6" t="s">
        <v>82</v>
      </c>
      <c r="C20" s="11"/>
      <c r="D20" s="12">
        <v>5</v>
      </c>
      <c r="E20" s="12">
        <v>5</v>
      </c>
      <c r="F20" s="12">
        <v>5</v>
      </c>
      <c r="G20" s="12">
        <v>5</v>
      </c>
      <c r="I20" s="12">
        <f t="shared" si="2"/>
        <v>0.59296891095080939</v>
      </c>
      <c r="J20" s="12">
        <f t="shared" si="3"/>
        <v>0.59296891095080939</v>
      </c>
      <c r="K20" s="12">
        <f t="shared" si="4"/>
        <v>0.59296891095080939</v>
      </c>
      <c r="L20" s="12">
        <f t="shared" si="5"/>
        <v>0.59296891095080939</v>
      </c>
    </row>
    <row r="21" spans="1:12" s="12" customFormat="1" x14ac:dyDescent="0.25">
      <c r="A21" s="13" t="s">
        <v>85</v>
      </c>
      <c r="B21" s="6" t="s">
        <v>86</v>
      </c>
      <c r="C21" s="11"/>
      <c r="D21" s="12">
        <v>5</v>
      </c>
      <c r="E21" s="12">
        <v>4</v>
      </c>
      <c r="F21" s="12">
        <v>5</v>
      </c>
      <c r="G21" s="12">
        <v>5</v>
      </c>
      <c r="I21" s="12">
        <f t="shared" si="2"/>
        <v>0.59296891095080939</v>
      </c>
      <c r="J21" s="12">
        <f t="shared" si="3"/>
        <v>-1.5292356124520881</v>
      </c>
      <c r="K21" s="12">
        <f t="shared" si="4"/>
        <v>0.59296891095080939</v>
      </c>
      <c r="L21" s="12">
        <f t="shared" si="5"/>
        <v>0.59296891095080939</v>
      </c>
    </row>
    <row r="22" spans="1:12" s="12" customFormat="1" x14ac:dyDescent="0.25">
      <c r="A22" s="13" t="s">
        <v>97</v>
      </c>
      <c r="B22" s="6" t="s">
        <v>98</v>
      </c>
      <c r="C22" s="11"/>
      <c r="D22" s="12">
        <v>5</v>
      </c>
      <c r="E22" s="12">
        <v>5</v>
      </c>
      <c r="F22" s="12">
        <v>4</v>
      </c>
      <c r="G22" s="12">
        <v>4</v>
      </c>
      <c r="I22" s="12">
        <f t="shared" si="2"/>
        <v>0.59296891095080939</v>
      </c>
      <c r="J22" s="12">
        <f t="shared" si="3"/>
        <v>0.59296891095080939</v>
      </c>
      <c r="K22" s="12">
        <f t="shared" si="4"/>
        <v>-1.5292356124520881</v>
      </c>
      <c r="L22" s="12">
        <f t="shared" si="5"/>
        <v>-1.5292356124520881</v>
      </c>
    </row>
    <row r="23" spans="1:12" s="12" customFormat="1" x14ac:dyDescent="0.25">
      <c r="A23" s="13" t="s">
        <v>101</v>
      </c>
      <c r="B23" s="6" t="s">
        <v>102</v>
      </c>
      <c r="C23" s="11"/>
      <c r="D23" s="12">
        <v>5</v>
      </c>
      <c r="E23" s="12">
        <v>5</v>
      </c>
      <c r="F23" s="12">
        <v>4</v>
      </c>
      <c r="G23" s="12">
        <v>5</v>
      </c>
      <c r="I23" s="12">
        <f t="shared" si="2"/>
        <v>0.59296891095080939</v>
      </c>
      <c r="J23" s="12">
        <f t="shared" si="3"/>
        <v>0.59296891095080939</v>
      </c>
      <c r="K23" s="12">
        <f t="shared" si="4"/>
        <v>-1.5292356124520881</v>
      </c>
      <c r="L23" s="12">
        <f t="shared" si="5"/>
        <v>0.59296891095080939</v>
      </c>
    </row>
    <row r="24" spans="1:12" s="12" customFormat="1" x14ac:dyDescent="0.25">
      <c r="A24" s="13" t="s">
        <v>107</v>
      </c>
      <c r="B24" s="6" t="s">
        <v>108</v>
      </c>
      <c r="C24" s="11"/>
      <c r="D24" s="12">
        <v>5</v>
      </c>
      <c r="E24" s="12">
        <v>5</v>
      </c>
      <c r="F24" s="12">
        <v>4</v>
      </c>
      <c r="G24" s="12">
        <v>4</v>
      </c>
      <c r="I24" s="12">
        <f t="shared" si="2"/>
        <v>0.59296891095080939</v>
      </c>
      <c r="J24" s="12">
        <f t="shared" si="3"/>
        <v>0.59296891095080939</v>
      </c>
      <c r="K24" s="12">
        <f t="shared" si="4"/>
        <v>-1.5292356124520881</v>
      </c>
      <c r="L24" s="12">
        <f t="shared" si="5"/>
        <v>-1.5292356124520881</v>
      </c>
    </row>
    <row r="25" spans="1:12" s="12" customFormat="1" x14ac:dyDescent="0.25">
      <c r="A25" s="13" t="s">
        <v>109</v>
      </c>
      <c r="B25" s="6" t="s">
        <v>110</v>
      </c>
      <c r="C25" s="11"/>
      <c r="D25" s="12">
        <v>5</v>
      </c>
      <c r="E25" s="12">
        <v>5</v>
      </c>
      <c r="F25" s="12">
        <v>4</v>
      </c>
      <c r="G25" s="12">
        <v>5</v>
      </c>
      <c r="I25" s="12">
        <f t="shared" si="2"/>
        <v>0.59296891095080939</v>
      </c>
      <c r="J25" s="12">
        <f t="shared" si="3"/>
        <v>0.59296891095080939</v>
      </c>
      <c r="K25" s="12">
        <f t="shared" si="4"/>
        <v>-1.5292356124520881</v>
      </c>
      <c r="L25" s="12">
        <f t="shared" si="5"/>
        <v>0.59296891095080939</v>
      </c>
    </row>
    <row r="26" spans="1:12" s="12" customFormat="1" x14ac:dyDescent="0.25">
      <c r="A26" s="13" t="s">
        <v>111</v>
      </c>
      <c r="B26" s="6" t="s">
        <v>112</v>
      </c>
      <c r="C26" s="11"/>
      <c r="D26" s="12">
        <v>5</v>
      </c>
      <c r="E26" s="12">
        <v>5</v>
      </c>
      <c r="F26" s="12">
        <v>5</v>
      </c>
      <c r="G26" s="12">
        <v>5</v>
      </c>
      <c r="I26" s="12">
        <f t="shared" si="2"/>
        <v>0.59296891095080939</v>
      </c>
      <c r="J26" s="12">
        <f t="shared" si="3"/>
        <v>0.59296891095080939</v>
      </c>
      <c r="K26" s="12">
        <f t="shared" si="4"/>
        <v>0.59296891095080939</v>
      </c>
      <c r="L26" s="12">
        <f t="shared" si="5"/>
        <v>0.59296891095080939</v>
      </c>
    </row>
    <row r="27" spans="1:12" s="12" customFormat="1" x14ac:dyDescent="0.25">
      <c r="A27" s="13" t="s">
        <v>121</v>
      </c>
      <c r="B27" s="6" t="s">
        <v>122</v>
      </c>
      <c r="C27" s="11"/>
      <c r="D27" s="12">
        <v>5</v>
      </c>
      <c r="E27" s="12">
        <v>5</v>
      </c>
      <c r="F27" s="12">
        <v>5</v>
      </c>
      <c r="G27" s="12">
        <v>5</v>
      </c>
      <c r="I27" s="12">
        <f t="shared" si="2"/>
        <v>0.59296891095080939</v>
      </c>
      <c r="J27" s="12">
        <f t="shared" si="3"/>
        <v>0.59296891095080939</v>
      </c>
      <c r="K27" s="12">
        <f t="shared" si="4"/>
        <v>0.59296891095080939</v>
      </c>
      <c r="L27" s="12">
        <f t="shared" si="5"/>
        <v>0.59296891095080939</v>
      </c>
    </row>
    <row r="28" spans="1:12" s="12" customFormat="1" x14ac:dyDescent="0.25">
      <c r="A28" s="13" t="s">
        <v>123</v>
      </c>
      <c r="B28" s="6" t="s">
        <v>124</v>
      </c>
      <c r="C28" s="11"/>
      <c r="D28" s="12">
        <v>4</v>
      </c>
      <c r="E28" s="12">
        <v>4</v>
      </c>
      <c r="F28" s="12">
        <v>5</v>
      </c>
      <c r="G28" s="12">
        <v>5</v>
      </c>
      <c r="I28" s="12">
        <f t="shared" si="2"/>
        <v>-1.5292356124520881</v>
      </c>
      <c r="J28" s="12">
        <f t="shared" si="3"/>
        <v>-1.5292356124520881</v>
      </c>
      <c r="K28" s="12">
        <f t="shared" si="4"/>
        <v>0.59296891095080939</v>
      </c>
      <c r="L28" s="12">
        <f t="shared" si="5"/>
        <v>0.59296891095080939</v>
      </c>
    </row>
    <row r="29" spans="1:12" s="12" customFormat="1" x14ac:dyDescent="0.25">
      <c r="A29" s="6" t="s">
        <v>134</v>
      </c>
      <c r="B29" s="6" t="s">
        <v>135</v>
      </c>
      <c r="C29" s="11"/>
      <c r="D29" s="12">
        <v>4</v>
      </c>
      <c r="E29" s="12">
        <v>4</v>
      </c>
      <c r="F29" s="12">
        <v>5</v>
      </c>
      <c r="G29" s="12">
        <v>5</v>
      </c>
      <c r="I29" s="12">
        <f t="shared" si="2"/>
        <v>-1.5292356124520881</v>
      </c>
      <c r="J29" s="12">
        <f t="shared" si="3"/>
        <v>-1.5292356124520881</v>
      </c>
      <c r="K29" s="12">
        <f t="shared" si="4"/>
        <v>0.59296891095080939</v>
      </c>
      <c r="L29" s="12">
        <f t="shared" si="5"/>
        <v>0.59296891095080939</v>
      </c>
    </row>
    <row r="30" spans="1:12" s="12" customFormat="1" x14ac:dyDescent="0.25">
      <c r="A30" s="6" t="s">
        <v>145</v>
      </c>
      <c r="B30" s="6" t="s">
        <v>146</v>
      </c>
      <c r="C30" s="17">
        <v>42345</v>
      </c>
      <c r="D30" s="12">
        <v>5</v>
      </c>
      <c r="E30" s="12">
        <v>5</v>
      </c>
      <c r="F30" s="12">
        <v>4</v>
      </c>
      <c r="G30" s="12">
        <v>4</v>
      </c>
      <c r="I30" s="12">
        <f t="shared" si="2"/>
        <v>0.59296891095080939</v>
      </c>
      <c r="J30" s="12">
        <f t="shared" si="3"/>
        <v>0.59296891095080939</v>
      </c>
      <c r="K30" s="12">
        <f t="shared" si="4"/>
        <v>-1.5292356124520881</v>
      </c>
      <c r="L30" s="12">
        <f t="shared" si="5"/>
        <v>-1.5292356124520881</v>
      </c>
    </row>
    <row r="31" spans="1:12" s="12" customFormat="1" x14ac:dyDescent="0.25">
      <c r="A31" s="6" t="s">
        <v>153</v>
      </c>
      <c r="B31" s="6" t="s">
        <v>154</v>
      </c>
      <c r="C31" s="17">
        <v>42340</v>
      </c>
      <c r="D31" s="12">
        <v>5</v>
      </c>
      <c r="E31" s="12">
        <v>4</v>
      </c>
      <c r="F31" s="12">
        <v>5</v>
      </c>
      <c r="G31" s="12">
        <v>5</v>
      </c>
      <c r="I31" s="12">
        <f t="shared" si="2"/>
        <v>0.59296891095080939</v>
      </c>
      <c r="J31" s="12">
        <f t="shared" si="3"/>
        <v>-1.5292356124520881</v>
      </c>
      <c r="K31" s="12">
        <f t="shared" si="4"/>
        <v>0.59296891095080939</v>
      </c>
      <c r="L31" s="12">
        <f t="shared" si="5"/>
        <v>0.59296891095080939</v>
      </c>
    </row>
    <row r="32" spans="1:12" s="12" customFormat="1" x14ac:dyDescent="0.25">
      <c r="A32" s="6" t="s">
        <v>163</v>
      </c>
      <c r="B32" s="6" t="s">
        <v>162</v>
      </c>
      <c r="C32" s="17">
        <v>42343</v>
      </c>
      <c r="D32" s="12">
        <v>5</v>
      </c>
      <c r="E32" s="12">
        <v>5</v>
      </c>
      <c r="F32" s="12">
        <v>3</v>
      </c>
      <c r="G32" s="12">
        <v>4</v>
      </c>
      <c r="I32" s="12">
        <f t="shared" si="2"/>
        <v>0.59296891095080939</v>
      </c>
      <c r="J32" s="12">
        <f t="shared" si="3"/>
        <v>0.59296891095080939</v>
      </c>
      <c r="K32" s="12">
        <f t="shared" si="4"/>
        <v>-3.6514401358549855</v>
      </c>
      <c r="L32" s="12">
        <f t="shared" si="5"/>
        <v>-1.5292356124520881</v>
      </c>
    </row>
    <row r="33" spans="1:12" s="12" customFormat="1" x14ac:dyDescent="0.25">
      <c r="A33" s="6" t="s">
        <v>166</v>
      </c>
      <c r="B33" s="6" t="s">
        <v>167</v>
      </c>
      <c r="C33" s="17">
        <v>42350</v>
      </c>
      <c r="D33" s="12">
        <v>5</v>
      </c>
      <c r="E33" s="12">
        <v>5</v>
      </c>
      <c r="F33" s="12">
        <v>5</v>
      </c>
      <c r="G33" s="12">
        <v>5</v>
      </c>
      <c r="I33" s="12">
        <f t="shared" si="2"/>
        <v>0.59296891095080939</v>
      </c>
      <c r="J33" s="12">
        <f t="shared" si="3"/>
        <v>0.59296891095080939</v>
      </c>
      <c r="K33" s="12">
        <f t="shared" si="4"/>
        <v>0.59296891095080939</v>
      </c>
      <c r="L33" s="12">
        <f t="shared" si="5"/>
        <v>0.59296891095080939</v>
      </c>
    </row>
    <row r="34" spans="1:12" s="12" customFormat="1" x14ac:dyDescent="0.25">
      <c r="A34" s="6" t="s">
        <v>164</v>
      </c>
      <c r="B34" s="6" t="s">
        <v>165</v>
      </c>
      <c r="C34" s="17">
        <v>42351</v>
      </c>
      <c r="D34" s="12">
        <v>5</v>
      </c>
      <c r="E34" s="12">
        <v>5</v>
      </c>
      <c r="F34" s="12">
        <v>5</v>
      </c>
      <c r="G34" s="12">
        <v>5</v>
      </c>
      <c r="I34" s="12">
        <f t="shared" si="2"/>
        <v>0.59296891095080939</v>
      </c>
      <c r="J34" s="12">
        <f t="shared" si="3"/>
        <v>0.59296891095080939</v>
      </c>
      <c r="K34" s="12">
        <f t="shared" si="4"/>
        <v>0.59296891095080939</v>
      </c>
      <c r="L34" s="12">
        <f t="shared" si="5"/>
        <v>0.59296891095080939</v>
      </c>
    </row>
    <row r="35" spans="1:12" s="12" customFormat="1" x14ac:dyDescent="0.25">
      <c r="B35" s="7"/>
      <c r="C35" s="7"/>
    </row>
    <row r="36" spans="1:12" s="12" customFormat="1" x14ac:dyDescent="0.25">
      <c r="A36" s="1" t="s">
        <v>1</v>
      </c>
      <c r="B36" s="7"/>
      <c r="C36" s="7"/>
    </row>
    <row r="37" spans="1:12" s="12" customFormat="1" x14ac:dyDescent="0.25">
      <c r="A37" s="13" t="s">
        <v>23</v>
      </c>
      <c r="B37" s="6" t="s">
        <v>24</v>
      </c>
      <c r="C37" s="11"/>
      <c r="D37" s="12">
        <v>5</v>
      </c>
      <c r="E37" s="12">
        <v>5</v>
      </c>
      <c r="F37" s="12">
        <v>5</v>
      </c>
      <c r="G37" s="12">
        <v>5</v>
      </c>
      <c r="I37" s="12">
        <f t="shared" si="2"/>
        <v>0.59296891095080939</v>
      </c>
      <c r="J37" s="12">
        <f t="shared" si="3"/>
        <v>0.59296891095080939</v>
      </c>
      <c r="K37" s="12">
        <f t="shared" si="4"/>
        <v>0.59296891095080939</v>
      </c>
      <c r="L37" s="12">
        <f t="shared" si="5"/>
        <v>0.59296891095080939</v>
      </c>
    </row>
    <row r="38" spans="1:12" s="12" customFormat="1" x14ac:dyDescent="0.25">
      <c r="A38" s="13" t="s">
        <v>25</v>
      </c>
      <c r="B38" s="6" t="s">
        <v>26</v>
      </c>
      <c r="C38" s="11"/>
      <c r="D38" s="12">
        <v>5</v>
      </c>
      <c r="E38" s="12">
        <v>5</v>
      </c>
      <c r="F38" s="12">
        <v>5</v>
      </c>
      <c r="G38" s="12">
        <v>5</v>
      </c>
      <c r="I38" s="12">
        <f t="shared" si="2"/>
        <v>0.59296891095080939</v>
      </c>
      <c r="J38" s="12">
        <f t="shared" si="3"/>
        <v>0.59296891095080939</v>
      </c>
      <c r="K38" s="12">
        <f t="shared" si="4"/>
        <v>0.59296891095080939</v>
      </c>
      <c r="L38" s="12">
        <f t="shared" si="5"/>
        <v>0.59296891095080939</v>
      </c>
    </row>
    <row r="39" spans="1:12" s="12" customFormat="1" x14ac:dyDescent="0.25">
      <c r="A39" s="13" t="s">
        <v>27</v>
      </c>
      <c r="B39" s="6" t="s">
        <v>28</v>
      </c>
      <c r="C39" s="11"/>
      <c r="D39" s="12">
        <v>5</v>
      </c>
      <c r="E39" s="12">
        <v>5</v>
      </c>
      <c r="F39" s="12">
        <v>5</v>
      </c>
      <c r="G39" s="12">
        <v>5</v>
      </c>
      <c r="I39" s="12">
        <f t="shared" si="2"/>
        <v>0.59296891095080939</v>
      </c>
      <c r="J39" s="12">
        <f t="shared" si="3"/>
        <v>0.59296891095080939</v>
      </c>
      <c r="K39" s="12">
        <f t="shared" si="4"/>
        <v>0.59296891095080939</v>
      </c>
      <c r="L39" s="12">
        <f t="shared" si="5"/>
        <v>0.59296891095080939</v>
      </c>
    </row>
    <row r="40" spans="1:12" s="12" customFormat="1" ht="31.5" x14ac:dyDescent="0.25">
      <c r="A40" s="13" t="s">
        <v>48</v>
      </c>
      <c r="B40" s="6" t="s">
        <v>49</v>
      </c>
      <c r="C40" s="11"/>
      <c r="D40" s="12">
        <v>5</v>
      </c>
      <c r="E40" s="12">
        <v>5</v>
      </c>
      <c r="F40" s="12">
        <v>5</v>
      </c>
      <c r="G40" s="12">
        <v>4</v>
      </c>
      <c r="I40" s="12">
        <f t="shared" si="2"/>
        <v>0.59296891095080939</v>
      </c>
      <c r="J40" s="12">
        <f t="shared" si="3"/>
        <v>0.59296891095080939</v>
      </c>
      <c r="K40" s="12">
        <f t="shared" si="4"/>
        <v>0.59296891095080939</v>
      </c>
      <c r="L40" s="12">
        <f t="shared" si="5"/>
        <v>-1.5292356124520881</v>
      </c>
    </row>
    <row r="41" spans="1:12" s="12" customFormat="1" x14ac:dyDescent="0.25">
      <c r="A41" s="13" t="s">
        <v>76</v>
      </c>
      <c r="B41" s="6" t="s">
        <v>77</v>
      </c>
      <c r="C41" s="11"/>
      <c r="D41" s="12">
        <v>4</v>
      </c>
      <c r="E41" s="12">
        <v>4</v>
      </c>
      <c r="F41" s="12">
        <v>5</v>
      </c>
      <c r="G41" s="12">
        <v>5</v>
      </c>
      <c r="I41" s="12">
        <f t="shared" si="2"/>
        <v>-1.5292356124520881</v>
      </c>
      <c r="J41" s="12">
        <f t="shared" si="3"/>
        <v>-1.5292356124520881</v>
      </c>
      <c r="K41" s="12">
        <f t="shared" si="4"/>
        <v>0.59296891095080939</v>
      </c>
      <c r="L41" s="12">
        <f t="shared" si="5"/>
        <v>0.59296891095080939</v>
      </c>
    </row>
    <row r="42" spans="1:12" s="12" customFormat="1" x14ac:dyDescent="0.25">
      <c r="A42" s="13" t="s">
        <v>91</v>
      </c>
      <c r="B42" s="6" t="s">
        <v>92</v>
      </c>
      <c r="C42" s="11"/>
      <c r="D42" s="12">
        <v>5</v>
      </c>
      <c r="E42" s="12">
        <v>5</v>
      </c>
      <c r="F42" s="12">
        <v>5</v>
      </c>
      <c r="G42" s="12">
        <v>5</v>
      </c>
      <c r="I42" s="12">
        <f t="shared" si="2"/>
        <v>0.59296891095080939</v>
      </c>
      <c r="J42" s="12">
        <f t="shared" si="3"/>
        <v>0.59296891095080939</v>
      </c>
      <c r="K42" s="12">
        <f t="shared" si="4"/>
        <v>0.59296891095080939</v>
      </c>
      <c r="L42" s="12">
        <f t="shared" si="5"/>
        <v>0.59296891095080939</v>
      </c>
    </row>
    <row r="43" spans="1:12" s="12" customFormat="1" x14ac:dyDescent="0.25">
      <c r="A43" s="13" t="s">
        <v>95</v>
      </c>
      <c r="B43" s="6" t="s">
        <v>96</v>
      </c>
      <c r="C43" s="11"/>
      <c r="D43" s="12">
        <v>5</v>
      </c>
      <c r="E43" s="12">
        <v>5</v>
      </c>
      <c r="F43" s="12">
        <v>4</v>
      </c>
      <c r="G43" s="12">
        <v>5</v>
      </c>
      <c r="I43" s="12">
        <f t="shared" si="2"/>
        <v>0.59296891095080939</v>
      </c>
      <c r="J43" s="12">
        <f t="shared" si="3"/>
        <v>0.59296891095080939</v>
      </c>
      <c r="K43" s="12">
        <f t="shared" si="4"/>
        <v>-1.5292356124520881</v>
      </c>
      <c r="L43" s="12">
        <f t="shared" si="5"/>
        <v>0.59296891095080939</v>
      </c>
    </row>
    <row r="44" spans="1:12" s="12" customFormat="1" x14ac:dyDescent="0.25">
      <c r="A44" s="13" t="s">
        <v>115</v>
      </c>
      <c r="B44" s="6" t="s">
        <v>116</v>
      </c>
      <c r="C44" s="11"/>
      <c r="D44" s="12">
        <v>5</v>
      </c>
      <c r="E44" s="12">
        <v>5</v>
      </c>
      <c r="F44" s="12">
        <v>5</v>
      </c>
      <c r="G44" s="12">
        <v>4</v>
      </c>
      <c r="I44" s="12">
        <f t="shared" si="2"/>
        <v>0.59296891095080939</v>
      </c>
      <c r="J44" s="12">
        <f t="shared" si="3"/>
        <v>0.59296891095080939</v>
      </c>
      <c r="K44" s="12">
        <f t="shared" si="4"/>
        <v>0.59296891095080939</v>
      </c>
      <c r="L44" s="12">
        <f t="shared" si="5"/>
        <v>-1.5292356124520881</v>
      </c>
    </row>
    <row r="45" spans="1:12" s="12" customFormat="1" x14ac:dyDescent="0.25">
      <c r="A45" s="13" t="s">
        <v>117</v>
      </c>
      <c r="B45" s="6" t="s">
        <v>118</v>
      </c>
      <c r="C45" s="11"/>
      <c r="D45" s="12">
        <v>5</v>
      </c>
      <c r="E45" s="12">
        <v>4</v>
      </c>
      <c r="F45" s="12">
        <v>5</v>
      </c>
      <c r="G45" s="12">
        <v>4</v>
      </c>
      <c r="I45" s="12">
        <f t="shared" si="2"/>
        <v>0.59296891095080939</v>
      </c>
      <c r="J45" s="12">
        <f t="shared" si="3"/>
        <v>-1.5292356124520881</v>
      </c>
      <c r="K45" s="12">
        <f t="shared" si="4"/>
        <v>0.59296891095080939</v>
      </c>
      <c r="L45" s="12">
        <f t="shared" si="5"/>
        <v>-1.5292356124520881</v>
      </c>
    </row>
    <row r="46" spans="1:12" s="12" customFormat="1" x14ac:dyDescent="0.25">
      <c r="A46" s="6" t="s">
        <v>136</v>
      </c>
      <c r="B46" s="6" t="s">
        <v>137</v>
      </c>
      <c r="C46" s="17">
        <v>42340</v>
      </c>
      <c r="D46" s="12">
        <v>5</v>
      </c>
      <c r="E46" s="12">
        <v>5</v>
      </c>
      <c r="F46" s="12">
        <v>4</v>
      </c>
      <c r="G46" s="12">
        <v>4</v>
      </c>
      <c r="I46" s="12">
        <f t="shared" si="2"/>
        <v>0.59296891095080939</v>
      </c>
      <c r="J46" s="12">
        <f t="shared" si="3"/>
        <v>0.59296891095080939</v>
      </c>
      <c r="K46" s="12">
        <f t="shared" si="4"/>
        <v>-1.5292356124520881</v>
      </c>
      <c r="L46" s="12">
        <f t="shared" si="5"/>
        <v>-1.5292356124520881</v>
      </c>
    </row>
    <row r="47" spans="1:12" s="12" customFormat="1" x14ac:dyDescent="0.25">
      <c r="A47" s="6"/>
      <c r="B47" s="6"/>
    </row>
    <row r="48" spans="1:12" s="12" customFormat="1" x14ac:dyDescent="0.25">
      <c r="A48" s="1" t="s">
        <v>2</v>
      </c>
      <c r="B48" s="7"/>
      <c r="C48" s="7"/>
    </row>
    <row r="49" spans="1:12" s="12" customFormat="1" x14ac:dyDescent="0.25">
      <c r="A49" s="13" t="s">
        <v>40</v>
      </c>
      <c r="B49" s="6" t="s">
        <v>41</v>
      </c>
      <c r="C49" s="11"/>
      <c r="D49" s="12">
        <v>4</v>
      </c>
      <c r="E49" s="12">
        <v>5</v>
      </c>
      <c r="F49" s="12">
        <v>5</v>
      </c>
      <c r="G49" s="12">
        <v>5</v>
      </c>
      <c r="I49" s="12">
        <f t="shared" si="2"/>
        <v>-1.5292356124520881</v>
      </c>
      <c r="J49" s="12">
        <f t="shared" si="3"/>
        <v>0.59296891095080939</v>
      </c>
      <c r="K49" s="12">
        <f t="shared" si="4"/>
        <v>0.59296891095080939</v>
      </c>
      <c r="L49" s="12">
        <f t="shared" si="5"/>
        <v>0.59296891095080939</v>
      </c>
    </row>
    <row r="50" spans="1:12" s="12" customFormat="1" x14ac:dyDescent="0.25">
      <c r="A50" s="13" t="s">
        <v>64</v>
      </c>
      <c r="B50" s="6" t="s">
        <v>65</v>
      </c>
      <c r="C50" s="11"/>
      <c r="D50" s="12">
        <v>4</v>
      </c>
      <c r="E50" s="12">
        <v>3</v>
      </c>
      <c r="F50" s="12">
        <v>5</v>
      </c>
      <c r="G50" s="12">
        <v>5</v>
      </c>
      <c r="I50" s="12">
        <f t="shared" si="2"/>
        <v>-1.5292356124520881</v>
      </c>
      <c r="J50" s="12">
        <f t="shared" si="3"/>
        <v>-3.6514401358549855</v>
      </c>
      <c r="K50" s="12">
        <f t="shared" si="4"/>
        <v>0.59296891095080939</v>
      </c>
      <c r="L50" s="12">
        <f t="shared" si="5"/>
        <v>0.59296891095080939</v>
      </c>
    </row>
    <row r="51" spans="1:12" s="12" customFormat="1" x14ac:dyDescent="0.25">
      <c r="A51" s="13" t="s">
        <v>99</v>
      </c>
      <c r="B51" s="6" t="s">
        <v>100</v>
      </c>
      <c r="C51" s="11"/>
      <c r="D51" s="12">
        <v>5</v>
      </c>
      <c r="E51" s="12">
        <v>5</v>
      </c>
      <c r="F51" s="12">
        <v>5</v>
      </c>
      <c r="G51" s="12">
        <v>5</v>
      </c>
      <c r="I51" s="12">
        <f t="shared" si="2"/>
        <v>0.59296891095080939</v>
      </c>
      <c r="J51" s="12">
        <f t="shared" si="3"/>
        <v>0.59296891095080939</v>
      </c>
      <c r="K51" s="12">
        <f t="shared" si="4"/>
        <v>0.59296891095080939</v>
      </c>
      <c r="L51" s="12">
        <f t="shared" si="5"/>
        <v>0.59296891095080939</v>
      </c>
    </row>
    <row r="52" spans="1:12" s="12" customFormat="1" x14ac:dyDescent="0.25">
      <c r="A52" s="13" t="s">
        <v>103</v>
      </c>
      <c r="B52" s="6" t="s">
        <v>104</v>
      </c>
      <c r="C52" s="11"/>
      <c r="D52" s="12">
        <v>4</v>
      </c>
      <c r="E52" s="12">
        <v>4</v>
      </c>
      <c r="F52" s="12">
        <v>5</v>
      </c>
      <c r="G52" s="12">
        <v>5</v>
      </c>
      <c r="H52" s="12" t="s">
        <v>178</v>
      </c>
      <c r="I52" s="12">
        <f t="shared" si="2"/>
        <v>-1.5292356124520881</v>
      </c>
      <c r="J52" s="12">
        <f t="shared" si="3"/>
        <v>-1.5292356124520881</v>
      </c>
      <c r="K52" s="12">
        <f t="shared" si="4"/>
        <v>0.59296891095080939</v>
      </c>
      <c r="L52" s="12">
        <f t="shared" si="5"/>
        <v>0.59296891095080939</v>
      </c>
    </row>
    <row r="53" spans="1:12" s="12" customFormat="1" ht="31.5" x14ac:dyDescent="0.25">
      <c r="A53" s="13" t="s">
        <v>113</v>
      </c>
      <c r="B53" s="6" t="s">
        <v>114</v>
      </c>
      <c r="C53" s="11"/>
      <c r="D53" s="12">
        <v>5</v>
      </c>
      <c r="E53" s="12">
        <v>5</v>
      </c>
      <c r="F53" s="12">
        <v>4</v>
      </c>
      <c r="G53" s="12">
        <v>5</v>
      </c>
      <c r="I53" s="12">
        <f t="shared" si="2"/>
        <v>0.59296891095080939</v>
      </c>
      <c r="J53" s="12">
        <f t="shared" si="3"/>
        <v>0.59296891095080939</v>
      </c>
      <c r="K53" s="12">
        <f t="shared" si="4"/>
        <v>-1.5292356124520881</v>
      </c>
      <c r="L53" s="12">
        <f t="shared" si="5"/>
        <v>0.59296891095080939</v>
      </c>
    </row>
    <row r="54" spans="1:12" s="12" customFormat="1" ht="31.5" x14ac:dyDescent="0.25">
      <c r="A54" s="13" t="s">
        <v>119</v>
      </c>
      <c r="B54" s="6" t="s">
        <v>120</v>
      </c>
      <c r="C54" s="11"/>
      <c r="D54" s="12">
        <v>5</v>
      </c>
      <c r="E54" s="12">
        <v>5</v>
      </c>
      <c r="F54" s="12">
        <v>5</v>
      </c>
      <c r="G54" s="12">
        <v>5</v>
      </c>
      <c r="I54" s="12">
        <f t="shared" si="2"/>
        <v>0.59296891095080939</v>
      </c>
      <c r="J54" s="12">
        <f t="shared" si="3"/>
        <v>0.59296891095080939</v>
      </c>
      <c r="K54" s="12">
        <f t="shared" si="4"/>
        <v>0.59296891095080939</v>
      </c>
      <c r="L54" s="12">
        <f t="shared" si="5"/>
        <v>0.59296891095080939</v>
      </c>
    </row>
    <row r="55" spans="1:12" s="12" customFormat="1" x14ac:dyDescent="0.25">
      <c r="A55" s="11" t="s">
        <v>161</v>
      </c>
      <c r="B55" s="6" t="s">
        <v>162</v>
      </c>
      <c r="C55" s="17">
        <v>42344</v>
      </c>
      <c r="D55" s="12">
        <v>5</v>
      </c>
      <c r="E55" s="12">
        <v>5</v>
      </c>
      <c r="F55" s="12">
        <v>4</v>
      </c>
      <c r="G55" s="12">
        <v>5</v>
      </c>
      <c r="I55" s="12">
        <f t="shared" si="2"/>
        <v>0.59296891095080939</v>
      </c>
      <c r="J55" s="12">
        <f t="shared" si="3"/>
        <v>0.59296891095080939</v>
      </c>
      <c r="K55" s="12">
        <f t="shared" si="4"/>
        <v>-1.5292356124520881</v>
      </c>
      <c r="L55" s="12">
        <f t="shared" si="5"/>
        <v>0.59296891095080939</v>
      </c>
    </row>
    <row r="56" spans="1:12" s="12" customFormat="1" x14ac:dyDescent="0.25"/>
    <row r="57" spans="1:12" s="12" customFormat="1" x14ac:dyDescent="0.25">
      <c r="A57" s="37" t="s">
        <v>18</v>
      </c>
      <c r="B57" s="7"/>
      <c r="C57" s="7"/>
    </row>
    <row r="58" spans="1:12" s="12" customFormat="1" ht="31.5" x14ac:dyDescent="0.25">
      <c r="A58" s="13" t="s">
        <v>29</v>
      </c>
      <c r="B58" s="6" t="s">
        <v>30</v>
      </c>
      <c r="C58" s="11"/>
    </row>
    <row r="59" spans="1:12" s="12" customFormat="1" x14ac:dyDescent="0.25">
      <c r="A59" s="13" t="s">
        <v>66</v>
      </c>
      <c r="B59" s="6" t="s">
        <v>24</v>
      </c>
      <c r="C59" s="11"/>
    </row>
    <row r="60" spans="1:12" s="12" customFormat="1" x14ac:dyDescent="0.25">
      <c r="A60" s="13" t="s">
        <v>67</v>
      </c>
      <c r="B60" s="6" t="s">
        <v>55</v>
      </c>
      <c r="C60" s="11"/>
    </row>
    <row r="61" spans="1:12" s="12" customFormat="1" x14ac:dyDescent="0.25">
      <c r="A61" s="13" t="s">
        <v>89</v>
      </c>
      <c r="B61" s="6" t="s">
        <v>90</v>
      </c>
      <c r="C61" s="11"/>
    </row>
    <row r="62" spans="1:12" s="12" customFormat="1" x14ac:dyDescent="0.25">
      <c r="A62" s="13" t="s">
        <v>125</v>
      </c>
      <c r="B62" s="6" t="s">
        <v>126</v>
      </c>
      <c r="C62" s="11"/>
    </row>
    <row r="63" spans="1:12" s="12" customFormat="1" x14ac:dyDescent="0.25">
      <c r="A63" s="13" t="s">
        <v>127</v>
      </c>
      <c r="B63" s="6" t="s">
        <v>128</v>
      </c>
      <c r="C63" s="11"/>
    </row>
    <row r="64" spans="1:12" s="12" customFormat="1" x14ac:dyDescent="0.25">
      <c r="A64" s="13" t="s">
        <v>129</v>
      </c>
      <c r="B64" s="6" t="s">
        <v>130</v>
      </c>
      <c r="C64" s="11"/>
    </row>
    <row r="65" spans="1:12" s="12" customFormat="1" x14ac:dyDescent="0.25">
      <c r="A65" s="6" t="s">
        <v>138</v>
      </c>
      <c r="B65" s="6" t="s">
        <v>139</v>
      </c>
      <c r="C65" s="17">
        <v>42349</v>
      </c>
    </row>
    <row r="66" spans="1:12" s="12" customFormat="1" x14ac:dyDescent="0.25">
      <c r="A66" s="6" t="s">
        <v>140</v>
      </c>
      <c r="B66" s="6" t="s">
        <v>141</v>
      </c>
      <c r="C66" s="11"/>
    </row>
    <row r="67" spans="1:12" s="12" customFormat="1" x14ac:dyDescent="0.25">
      <c r="A67" s="6" t="s">
        <v>151</v>
      </c>
      <c r="B67" s="6" t="s">
        <v>152</v>
      </c>
      <c r="C67" s="17">
        <v>42341</v>
      </c>
    </row>
    <row r="68" spans="1:12" s="12" customFormat="1" x14ac:dyDescent="0.25">
      <c r="A68" s="6" t="s">
        <v>157</v>
      </c>
      <c r="B68" s="6" t="s">
        <v>158</v>
      </c>
      <c r="C68" s="17">
        <v>42341</v>
      </c>
    </row>
    <row r="69" spans="1:12" s="12" customFormat="1" x14ac:dyDescent="0.25">
      <c r="A69" s="6" t="s">
        <v>159</v>
      </c>
      <c r="B69" s="6" t="s">
        <v>160</v>
      </c>
      <c r="C69" s="17">
        <v>42346</v>
      </c>
    </row>
    <row r="70" spans="1:12" s="12" customFormat="1" x14ac:dyDescent="0.25">
      <c r="A70" s="6" t="s">
        <v>168</v>
      </c>
      <c r="B70" s="6" t="s">
        <v>169</v>
      </c>
      <c r="C70" s="17">
        <v>42350</v>
      </c>
    </row>
    <row r="71" spans="1:12" s="12" customFormat="1" x14ac:dyDescent="0.25">
      <c r="A71" s="6"/>
      <c r="B71" s="6"/>
      <c r="C71" s="11"/>
    </row>
    <row r="72" spans="1:12" s="12" customFormat="1" x14ac:dyDescent="0.25">
      <c r="A72" s="1" t="s">
        <v>19</v>
      </c>
      <c r="B72" s="11"/>
      <c r="C72" s="11"/>
    </row>
    <row r="73" spans="1:12" s="12" customFormat="1" x14ac:dyDescent="0.25">
      <c r="A73" s="13" t="s">
        <v>46</v>
      </c>
      <c r="B73" s="6" t="s">
        <v>47</v>
      </c>
      <c r="C73" s="11"/>
      <c r="D73" s="12">
        <v>5</v>
      </c>
      <c r="E73" s="12">
        <v>4</v>
      </c>
      <c r="F73" s="12">
        <v>5</v>
      </c>
      <c r="G73" s="12">
        <v>5</v>
      </c>
      <c r="I73" s="12">
        <f t="shared" ref="I73:I78" si="6">STANDARDIZE(D73,$I$1,$K$1)</f>
        <v>0.59296891095080939</v>
      </c>
      <c r="J73" s="12">
        <f t="shared" ref="J73:J78" si="7">STANDARDIZE(E73,$I$1,$K$1)</f>
        <v>-1.5292356124520881</v>
      </c>
      <c r="K73" s="12">
        <f t="shared" ref="K73:K78" si="8">STANDARDIZE(F73,$I$1,$K$1)</f>
        <v>0.59296891095080939</v>
      </c>
      <c r="L73" s="12">
        <f t="shared" ref="L73:L78" si="9">STANDARDIZE(G73,$I$1,$K$1)</f>
        <v>0.59296891095080939</v>
      </c>
    </row>
    <row r="74" spans="1:12" s="12" customFormat="1" x14ac:dyDescent="0.25">
      <c r="A74" s="6" t="s">
        <v>142</v>
      </c>
      <c r="B74" s="6" t="s">
        <v>143</v>
      </c>
      <c r="C74" s="17">
        <v>42342</v>
      </c>
      <c r="D74" s="12">
        <v>5</v>
      </c>
      <c r="E74" s="12">
        <v>5</v>
      </c>
      <c r="F74" s="12">
        <v>5</v>
      </c>
      <c r="G74" s="12">
        <v>5</v>
      </c>
      <c r="I74" s="12">
        <f t="shared" si="6"/>
        <v>0.59296891095080939</v>
      </c>
      <c r="J74" s="12">
        <f t="shared" si="7"/>
        <v>0.59296891095080939</v>
      </c>
      <c r="K74" s="12">
        <f t="shared" si="8"/>
        <v>0.59296891095080939</v>
      </c>
      <c r="L74" s="12">
        <f t="shared" si="9"/>
        <v>0.59296891095080939</v>
      </c>
    </row>
    <row r="75" spans="1:12" s="12" customFormat="1" x14ac:dyDescent="0.25">
      <c r="A75" s="6" t="s">
        <v>144</v>
      </c>
      <c r="B75" s="6" t="s">
        <v>55</v>
      </c>
      <c r="C75" s="17">
        <v>42344</v>
      </c>
      <c r="D75" s="12">
        <v>5</v>
      </c>
      <c r="E75" s="12">
        <v>5</v>
      </c>
      <c r="F75" s="12">
        <v>4</v>
      </c>
      <c r="G75" s="12">
        <v>5</v>
      </c>
      <c r="I75" s="12">
        <f t="shared" si="6"/>
        <v>0.59296891095080939</v>
      </c>
      <c r="J75" s="12">
        <f t="shared" si="7"/>
        <v>0.59296891095080939</v>
      </c>
      <c r="K75" s="12">
        <f t="shared" si="8"/>
        <v>-1.5292356124520881</v>
      </c>
      <c r="L75" s="12">
        <f t="shared" si="9"/>
        <v>0.59296891095080939</v>
      </c>
    </row>
    <row r="76" spans="1:12" s="12" customFormat="1" x14ac:dyDescent="0.25">
      <c r="A76" s="6" t="s">
        <v>147</v>
      </c>
      <c r="B76" s="6" t="s">
        <v>148</v>
      </c>
      <c r="C76" s="17">
        <v>42347</v>
      </c>
      <c r="D76" s="12">
        <v>4</v>
      </c>
      <c r="E76" s="12">
        <v>4</v>
      </c>
      <c r="F76" s="12">
        <v>5</v>
      </c>
      <c r="G76" s="12">
        <v>4</v>
      </c>
      <c r="I76" s="12">
        <f t="shared" si="6"/>
        <v>-1.5292356124520881</v>
      </c>
      <c r="J76" s="12">
        <f t="shared" si="7"/>
        <v>-1.5292356124520881</v>
      </c>
      <c r="K76" s="12">
        <f t="shared" si="8"/>
        <v>0.59296891095080939</v>
      </c>
      <c r="L76" s="12">
        <f t="shared" si="9"/>
        <v>-1.5292356124520881</v>
      </c>
    </row>
    <row r="77" spans="1:12" s="12" customFormat="1" x14ac:dyDescent="0.25">
      <c r="A77" s="6" t="s">
        <v>149</v>
      </c>
      <c r="B77" s="6" t="s">
        <v>150</v>
      </c>
      <c r="C77" s="17">
        <v>42346</v>
      </c>
      <c r="D77" s="12">
        <v>4</v>
      </c>
      <c r="E77" s="12">
        <v>5</v>
      </c>
      <c r="F77" s="12">
        <v>4</v>
      </c>
      <c r="G77" s="12">
        <v>4</v>
      </c>
      <c r="I77" s="12">
        <f t="shared" si="6"/>
        <v>-1.5292356124520881</v>
      </c>
      <c r="J77" s="12">
        <f t="shared" si="7"/>
        <v>0.59296891095080939</v>
      </c>
      <c r="K77" s="12">
        <f t="shared" si="8"/>
        <v>-1.5292356124520881</v>
      </c>
      <c r="L77" s="12">
        <f t="shared" si="9"/>
        <v>-1.5292356124520881</v>
      </c>
    </row>
    <row r="78" spans="1:12" s="12" customFormat="1" x14ac:dyDescent="0.25">
      <c r="A78" s="6" t="s">
        <v>155</v>
      </c>
      <c r="B78" s="6" t="s">
        <v>156</v>
      </c>
      <c r="C78" s="17">
        <v>42348</v>
      </c>
      <c r="D78" s="12">
        <v>5</v>
      </c>
      <c r="E78" s="12">
        <v>5</v>
      </c>
      <c r="F78" s="12">
        <v>5</v>
      </c>
      <c r="G78" s="12">
        <v>5</v>
      </c>
      <c r="I78" s="12">
        <f t="shared" si="6"/>
        <v>0.59296891095080939</v>
      </c>
      <c r="J78" s="12">
        <f t="shared" si="7"/>
        <v>0.59296891095080939</v>
      </c>
      <c r="K78" s="12">
        <f t="shared" si="8"/>
        <v>0.59296891095080939</v>
      </c>
      <c r="L78" s="12">
        <f t="shared" si="9"/>
        <v>0.59296891095080939</v>
      </c>
    </row>
    <row r="79" spans="1:12" s="12" customFormat="1" x14ac:dyDescent="0.25">
      <c r="A79" s="11"/>
      <c r="B79" s="11"/>
      <c r="C79" s="11"/>
    </row>
    <row r="80" spans="1:12" s="12" customFormat="1" x14ac:dyDescent="0.25">
      <c r="A80" s="37" t="s">
        <v>20</v>
      </c>
      <c r="B80" s="11"/>
      <c r="C80" s="11"/>
    </row>
    <row r="81" spans="1:7" s="12" customFormat="1" x14ac:dyDescent="0.25">
      <c r="A81" s="13" t="s">
        <v>34</v>
      </c>
      <c r="B81" s="6" t="s">
        <v>35</v>
      </c>
      <c r="C81" s="11"/>
    </row>
    <row r="82" spans="1:7" s="12" customFormat="1" x14ac:dyDescent="0.25">
      <c r="A82" s="13" t="s">
        <v>52</v>
      </c>
      <c r="B82" s="6" t="s">
        <v>53</v>
      </c>
      <c r="C82" s="11"/>
    </row>
    <row r="83" spans="1:7" s="12" customFormat="1" x14ac:dyDescent="0.25">
      <c r="A83" s="13" t="s">
        <v>58</v>
      </c>
      <c r="B83" s="6" t="s">
        <v>59</v>
      </c>
      <c r="C83" s="11"/>
    </row>
    <row r="84" spans="1:7" s="12" customFormat="1" x14ac:dyDescent="0.25">
      <c r="A84" s="13" t="s">
        <v>62</v>
      </c>
      <c r="B84" s="6" t="s">
        <v>63</v>
      </c>
      <c r="C84" s="11"/>
    </row>
    <row r="85" spans="1:7" s="12" customFormat="1" x14ac:dyDescent="0.25">
      <c r="A85" s="13" t="s">
        <v>68</v>
      </c>
      <c r="B85" s="6" t="s">
        <v>69</v>
      </c>
      <c r="C85" s="11"/>
    </row>
    <row r="86" spans="1:7" s="12" customFormat="1" x14ac:dyDescent="0.25">
      <c r="A86" s="13" t="s">
        <v>72</v>
      </c>
      <c r="B86" s="6" t="s">
        <v>73</v>
      </c>
      <c r="C86" s="11"/>
    </row>
    <row r="87" spans="1:7" s="12" customFormat="1" x14ac:dyDescent="0.25">
      <c r="A87" s="13" t="s">
        <v>74</v>
      </c>
      <c r="B87" s="6" t="s">
        <v>75</v>
      </c>
      <c r="C87" s="11"/>
    </row>
    <row r="88" spans="1:7" s="12" customFormat="1" x14ac:dyDescent="0.25">
      <c r="A88" s="13" t="s">
        <v>83</v>
      </c>
      <c r="B88" s="6" t="s">
        <v>84</v>
      </c>
      <c r="C88" s="11"/>
    </row>
    <row r="89" spans="1:7" s="12" customFormat="1" x14ac:dyDescent="0.25">
      <c r="A89" s="13" t="s">
        <v>87</v>
      </c>
      <c r="B89" s="6" t="s">
        <v>88</v>
      </c>
      <c r="C89" s="11"/>
    </row>
    <row r="90" spans="1:7" s="12" customFormat="1" x14ac:dyDescent="0.25">
      <c r="A90" s="13" t="s">
        <v>93</v>
      </c>
      <c r="B90" s="6" t="s">
        <v>94</v>
      </c>
      <c r="C90" s="11"/>
    </row>
    <row r="91" spans="1:7" s="12" customFormat="1" x14ac:dyDescent="0.25">
      <c r="A91" s="13" t="s">
        <v>105</v>
      </c>
      <c r="B91" s="6" t="s">
        <v>106</v>
      </c>
      <c r="C91" s="11"/>
    </row>
    <row r="92" spans="1:7" s="12" customFormat="1" x14ac:dyDescent="0.25">
      <c r="A92" s="6" t="s">
        <v>131</v>
      </c>
      <c r="B92" s="6" t="s">
        <v>57</v>
      </c>
      <c r="C92" s="11"/>
    </row>
    <row r="93" spans="1:7" s="12" customFormat="1" x14ac:dyDescent="0.25">
      <c r="A93" s="6" t="s">
        <v>132</v>
      </c>
      <c r="B93" s="6" t="s">
        <v>133</v>
      </c>
      <c r="C93" s="11"/>
    </row>
    <row r="94" spans="1:7" s="12" customFormat="1" x14ac:dyDescent="0.25"/>
    <row r="95" spans="1:7" x14ac:dyDescent="0.25">
      <c r="A95" s="35" t="s">
        <v>8</v>
      </c>
      <c r="B95" s="9"/>
      <c r="C95" s="15"/>
      <c r="D95" s="9"/>
      <c r="E95" s="9"/>
      <c r="F95" s="9"/>
      <c r="G95" s="9"/>
    </row>
    <row r="96" spans="1:7" x14ac:dyDescent="0.25">
      <c r="A96" s="36" t="s">
        <v>9</v>
      </c>
      <c r="C96" s="12"/>
    </row>
    <row r="97" spans="1:3" x14ac:dyDescent="0.25">
      <c r="A97" s="36" t="s">
        <v>10</v>
      </c>
      <c r="C97" s="12"/>
    </row>
    <row r="98" spans="1:3" x14ac:dyDescent="0.25">
      <c r="A98" s="36" t="s">
        <v>11</v>
      </c>
      <c r="C98" s="12"/>
    </row>
    <row r="99" spans="1:3" x14ac:dyDescent="0.25">
      <c r="A99" s="36" t="s">
        <v>12</v>
      </c>
      <c r="C99" s="12"/>
    </row>
    <row r="100" spans="1:3" x14ac:dyDescent="0.25">
      <c r="A100" s="36" t="s">
        <v>13</v>
      </c>
      <c r="C100" s="12"/>
    </row>
    <row r="101" spans="1:3" x14ac:dyDescent="0.25">
      <c r="C101" s="12"/>
    </row>
    <row r="102" spans="1:3" x14ac:dyDescent="0.25">
      <c r="C102" s="12"/>
    </row>
    <row r="103" spans="1:3" x14ac:dyDescent="0.25">
      <c r="C103" s="12"/>
    </row>
    <row r="104" spans="1:3" x14ac:dyDescent="0.25">
      <c r="C104" s="12"/>
    </row>
    <row r="105" spans="1:3" x14ac:dyDescent="0.25">
      <c r="C105" s="12"/>
    </row>
    <row r="106" spans="1:3" x14ac:dyDescent="0.25">
      <c r="C106" s="12"/>
    </row>
    <row r="107" spans="1:3" x14ac:dyDescent="0.25">
      <c r="C107" s="12"/>
    </row>
    <row r="108" spans="1:3" x14ac:dyDescent="0.25">
      <c r="C108" s="12"/>
    </row>
    <row r="109" spans="1:3" x14ac:dyDescent="0.25">
      <c r="C109" s="12"/>
    </row>
    <row r="110" spans="1:3" x14ac:dyDescent="0.25">
      <c r="C110" s="12"/>
    </row>
    <row r="111" spans="1:3" x14ac:dyDescent="0.25">
      <c r="C111" s="12"/>
    </row>
    <row r="112" spans="1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12">
    <mergeCell ref="I2:L2"/>
    <mergeCell ref="I7:I8"/>
    <mergeCell ref="J7:J8"/>
    <mergeCell ref="K7:K8"/>
    <mergeCell ref="L7:L8"/>
    <mergeCell ref="B1:G1"/>
    <mergeCell ref="D2:G2"/>
    <mergeCell ref="C7:C8"/>
    <mergeCell ref="D7:D8"/>
    <mergeCell ref="E7:E8"/>
    <mergeCell ref="F7:F8"/>
    <mergeCell ref="G7:G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9"/>
  <sheetViews>
    <sheetView topLeftCell="A73" workbookViewId="0">
      <selection activeCell="A93" sqref="A93"/>
    </sheetView>
  </sheetViews>
  <sheetFormatPr defaultColWidth="11" defaultRowHeight="15.75" x14ac:dyDescent="0.25"/>
  <cols>
    <col min="1" max="1" width="81.875" customWidth="1"/>
    <col min="2" max="2" width="23" customWidth="1"/>
    <col min="3" max="3" width="14" customWidth="1"/>
    <col min="4" max="4" width="14.375" customWidth="1"/>
    <col min="5" max="5" width="13.875" customWidth="1"/>
    <col min="6" max="6" width="14.875" customWidth="1"/>
    <col min="7" max="7" width="16.625" customWidth="1"/>
  </cols>
  <sheetData>
    <row r="1" spans="1:12" x14ac:dyDescent="0.25">
      <c r="A1" s="1" t="s">
        <v>179</v>
      </c>
      <c r="B1" s="104" t="s">
        <v>181</v>
      </c>
      <c r="C1" s="104"/>
      <c r="D1" s="104"/>
      <c r="E1" s="104"/>
      <c r="F1" s="104"/>
      <c r="G1" s="104"/>
      <c r="H1" t="s">
        <v>174</v>
      </c>
      <c r="I1">
        <f>AVERAGE(D6:G93)</f>
        <v>3.5192307692307692</v>
      </c>
      <c r="J1" t="s">
        <v>177</v>
      </c>
      <c r="K1">
        <f>_xlfn.STDEV.S(D6:G93)</f>
        <v>1.2245909219382265</v>
      </c>
    </row>
    <row r="2" spans="1:12" x14ac:dyDescent="0.25">
      <c r="D2" s="102" t="s">
        <v>16</v>
      </c>
      <c r="E2" s="102"/>
      <c r="F2" s="102"/>
      <c r="G2" s="102"/>
      <c r="I2" s="103" t="s">
        <v>214</v>
      </c>
      <c r="J2" s="103"/>
      <c r="K2" s="103"/>
      <c r="L2" s="103"/>
    </row>
    <row r="3" spans="1:12" s="27" customFormat="1" ht="18.75" x14ac:dyDescent="0.3">
      <c r="A3" s="10" t="s">
        <v>3</v>
      </c>
      <c r="B3" s="10" t="s">
        <v>4</v>
      </c>
      <c r="C3" s="10" t="s">
        <v>17</v>
      </c>
      <c r="D3" s="10" t="s">
        <v>15</v>
      </c>
      <c r="E3" s="10" t="s">
        <v>7</v>
      </c>
      <c r="F3" s="10" t="s">
        <v>182</v>
      </c>
      <c r="G3" s="10" t="s">
        <v>183</v>
      </c>
      <c r="I3" s="10" t="str">
        <f>D3</f>
        <v>Актуальность темы</v>
      </c>
      <c r="J3" s="10" t="str">
        <f t="shared" ref="J3:L3" si="0">E3</f>
        <v>Научная состовляющая</v>
      </c>
      <c r="K3" s="10" t="str">
        <f t="shared" si="0"/>
        <v>Научная графика</v>
      </c>
      <c r="L3" s="10" t="str">
        <f t="shared" si="0"/>
        <v>Дизайн</v>
      </c>
    </row>
    <row r="4" spans="1:12" s="27" customFormat="1" ht="18.75" x14ac:dyDescent="0.3">
      <c r="A4" s="28"/>
      <c r="B4" s="28"/>
      <c r="C4" s="16"/>
      <c r="D4" s="28"/>
      <c r="E4" s="28"/>
      <c r="F4" s="28"/>
      <c r="G4" s="28"/>
    </row>
    <row r="5" spans="1:12" s="12" customFormat="1" x14ac:dyDescent="0.25">
      <c r="A5" s="1" t="s">
        <v>0</v>
      </c>
    </row>
    <row r="6" spans="1:12" s="12" customFormat="1" x14ac:dyDescent="0.25">
      <c r="A6" s="13" t="s">
        <v>21</v>
      </c>
      <c r="B6" s="6" t="s">
        <v>22</v>
      </c>
      <c r="C6" s="11"/>
    </row>
    <row r="7" spans="1:12" s="12" customFormat="1" x14ac:dyDescent="0.25">
      <c r="A7" s="14" t="s">
        <v>31</v>
      </c>
      <c r="B7" s="6" t="s">
        <v>32</v>
      </c>
      <c r="C7" s="105"/>
      <c r="D7" s="100"/>
      <c r="E7" s="100"/>
      <c r="F7" s="100"/>
      <c r="G7" s="100"/>
    </row>
    <row r="8" spans="1:12" s="12" customFormat="1" x14ac:dyDescent="0.25">
      <c r="A8" s="13" t="s">
        <v>33</v>
      </c>
      <c r="B8" s="6" t="s">
        <v>32</v>
      </c>
      <c r="C8" s="105"/>
      <c r="D8" s="100"/>
      <c r="E8" s="100"/>
      <c r="F8" s="100"/>
      <c r="G8" s="100"/>
    </row>
    <row r="9" spans="1:12" s="12" customFormat="1" x14ac:dyDescent="0.25">
      <c r="A9" s="13" t="s">
        <v>36</v>
      </c>
      <c r="B9" s="6" t="s">
        <v>37</v>
      </c>
      <c r="C9" s="11"/>
    </row>
    <row r="10" spans="1:12" s="12" customFormat="1" x14ac:dyDescent="0.25">
      <c r="A10" s="13" t="s">
        <v>38</v>
      </c>
      <c r="B10" s="6" t="s">
        <v>39</v>
      </c>
      <c r="C10" s="11"/>
    </row>
    <row r="11" spans="1:12" s="12" customFormat="1" x14ac:dyDescent="0.25">
      <c r="A11" s="13" t="s">
        <v>42</v>
      </c>
      <c r="B11" s="6" t="s">
        <v>43</v>
      </c>
      <c r="C11" s="11"/>
    </row>
    <row r="12" spans="1:12" s="12" customFormat="1" x14ac:dyDescent="0.25">
      <c r="A12" s="13" t="s">
        <v>44</v>
      </c>
      <c r="B12" s="6" t="s">
        <v>45</v>
      </c>
      <c r="C12" s="11"/>
    </row>
    <row r="13" spans="1:12" s="12" customFormat="1" x14ac:dyDescent="0.25">
      <c r="A13" s="13" t="s">
        <v>50</v>
      </c>
      <c r="B13" s="6" t="s">
        <v>51</v>
      </c>
      <c r="C13" s="11"/>
    </row>
    <row r="14" spans="1:12" s="12" customFormat="1" x14ac:dyDescent="0.25">
      <c r="A14" s="13" t="s">
        <v>54</v>
      </c>
      <c r="B14" s="6" t="s">
        <v>55</v>
      </c>
      <c r="C14" s="11"/>
    </row>
    <row r="15" spans="1:12" s="12" customFormat="1" x14ac:dyDescent="0.25">
      <c r="A15" s="13" t="s">
        <v>56</v>
      </c>
      <c r="B15" s="6" t="s">
        <v>57</v>
      </c>
      <c r="C15" s="11"/>
    </row>
    <row r="16" spans="1:12" x14ac:dyDescent="0.25">
      <c r="A16" s="14" t="s">
        <v>60</v>
      </c>
      <c r="B16" s="6" t="s">
        <v>61</v>
      </c>
      <c r="C16" s="12"/>
      <c r="D16" s="12"/>
      <c r="E16" s="12"/>
      <c r="F16" s="12"/>
      <c r="G16" s="12"/>
    </row>
    <row r="17" spans="1:10" s="12" customFormat="1" x14ac:dyDescent="0.25">
      <c r="A17" s="13" t="s">
        <v>70</v>
      </c>
      <c r="B17" s="6" t="s">
        <v>71</v>
      </c>
      <c r="C17" s="11"/>
    </row>
    <row r="18" spans="1:10" s="12" customFormat="1" x14ac:dyDescent="0.25">
      <c r="A18" s="13" t="s">
        <v>78</v>
      </c>
      <c r="B18" s="6" t="s">
        <v>53</v>
      </c>
      <c r="C18" s="11"/>
    </row>
    <row r="19" spans="1:10" s="12" customFormat="1" x14ac:dyDescent="0.25">
      <c r="A19" s="13" t="s">
        <v>79</v>
      </c>
      <c r="B19" s="6" t="s">
        <v>80</v>
      </c>
      <c r="C19" s="11"/>
    </row>
    <row r="20" spans="1:10" s="12" customFormat="1" x14ac:dyDescent="0.25">
      <c r="A20" s="13" t="s">
        <v>81</v>
      </c>
      <c r="B20" s="6" t="s">
        <v>82</v>
      </c>
      <c r="C20" s="11"/>
    </row>
    <row r="21" spans="1:10" s="12" customFormat="1" x14ac:dyDescent="0.25">
      <c r="A21" s="13" t="s">
        <v>85</v>
      </c>
      <c r="B21" s="6" t="s">
        <v>86</v>
      </c>
      <c r="C21" s="11"/>
    </row>
    <row r="22" spans="1:10" s="12" customFormat="1" x14ac:dyDescent="0.25">
      <c r="A22" s="13" t="s">
        <v>97</v>
      </c>
      <c r="B22" s="6" t="s">
        <v>98</v>
      </c>
      <c r="C22" s="11"/>
    </row>
    <row r="23" spans="1:10" s="12" customFormat="1" x14ac:dyDescent="0.25">
      <c r="A23" s="13" t="s">
        <v>101</v>
      </c>
      <c r="B23" s="6" t="s">
        <v>102</v>
      </c>
      <c r="C23" s="11"/>
    </row>
    <row r="24" spans="1:10" s="12" customFormat="1" x14ac:dyDescent="0.25">
      <c r="A24" s="13" t="s">
        <v>107</v>
      </c>
      <c r="B24" s="6" t="s">
        <v>108</v>
      </c>
      <c r="C24" s="11"/>
    </row>
    <row r="25" spans="1:10" s="12" customFormat="1" x14ac:dyDescent="0.25">
      <c r="A25" s="13" t="s">
        <v>109</v>
      </c>
      <c r="B25" s="6" t="s">
        <v>110</v>
      </c>
      <c r="C25" s="11"/>
    </row>
    <row r="26" spans="1:10" s="12" customFormat="1" x14ac:dyDescent="0.25">
      <c r="A26" s="13" t="s">
        <v>111</v>
      </c>
      <c r="B26" s="6" t="s">
        <v>112</v>
      </c>
      <c r="C26" s="11"/>
      <c r="J26" s="12" t="s">
        <v>178</v>
      </c>
    </row>
    <row r="27" spans="1:10" s="12" customFormat="1" x14ac:dyDescent="0.25">
      <c r="A27" s="13" t="s">
        <v>121</v>
      </c>
      <c r="B27" s="6" t="s">
        <v>122</v>
      </c>
      <c r="C27" s="11"/>
    </row>
    <row r="28" spans="1:10" s="12" customFormat="1" x14ac:dyDescent="0.25">
      <c r="A28" s="13" t="s">
        <v>123</v>
      </c>
      <c r="B28" s="6" t="s">
        <v>124</v>
      </c>
      <c r="C28" s="11"/>
    </row>
    <row r="29" spans="1:10" s="12" customFormat="1" x14ac:dyDescent="0.25">
      <c r="A29" s="6" t="s">
        <v>134</v>
      </c>
      <c r="B29" s="6" t="s">
        <v>135</v>
      </c>
      <c r="C29" s="11"/>
    </row>
    <row r="30" spans="1:10" s="12" customFormat="1" x14ac:dyDescent="0.25">
      <c r="A30" s="6" t="s">
        <v>145</v>
      </c>
      <c r="B30" s="6" t="s">
        <v>146</v>
      </c>
      <c r="C30" s="17"/>
    </row>
    <row r="31" spans="1:10" s="12" customFormat="1" x14ac:dyDescent="0.25">
      <c r="A31" s="6" t="s">
        <v>153</v>
      </c>
      <c r="B31" s="6" t="s">
        <v>154</v>
      </c>
      <c r="C31" s="17"/>
    </row>
    <row r="32" spans="1:10" s="12" customFormat="1" x14ac:dyDescent="0.25">
      <c r="A32" s="6" t="s">
        <v>163</v>
      </c>
      <c r="B32" s="6" t="s">
        <v>162</v>
      </c>
      <c r="C32" s="17"/>
    </row>
    <row r="33" spans="1:3" s="12" customFormat="1" x14ac:dyDescent="0.25">
      <c r="A33" s="6" t="s">
        <v>166</v>
      </c>
      <c r="B33" s="6" t="s">
        <v>167</v>
      </c>
      <c r="C33" s="17"/>
    </row>
    <row r="34" spans="1:3" s="12" customFormat="1" x14ac:dyDescent="0.25">
      <c r="A34" s="6" t="s">
        <v>164</v>
      </c>
      <c r="B34" s="6" t="s">
        <v>165</v>
      </c>
      <c r="C34" s="17"/>
    </row>
    <row r="35" spans="1:3" s="12" customFormat="1" x14ac:dyDescent="0.25">
      <c r="B35" s="7"/>
      <c r="C35" s="7"/>
    </row>
    <row r="36" spans="1:3" s="12" customFormat="1" x14ac:dyDescent="0.25">
      <c r="A36" s="1" t="s">
        <v>1</v>
      </c>
      <c r="B36" s="7"/>
      <c r="C36" s="7"/>
    </row>
    <row r="37" spans="1:3" s="12" customFormat="1" x14ac:dyDescent="0.25">
      <c r="A37" s="13" t="s">
        <v>23</v>
      </c>
      <c r="B37" s="6" t="s">
        <v>24</v>
      </c>
      <c r="C37" s="11"/>
    </row>
    <row r="38" spans="1:3" s="12" customFormat="1" x14ac:dyDescent="0.25">
      <c r="A38" s="13" t="s">
        <v>25</v>
      </c>
      <c r="B38" s="6" t="s">
        <v>26</v>
      </c>
      <c r="C38" s="11"/>
    </row>
    <row r="39" spans="1:3" s="12" customFormat="1" x14ac:dyDescent="0.25">
      <c r="A39" s="13" t="s">
        <v>27</v>
      </c>
      <c r="B39" s="6" t="s">
        <v>28</v>
      </c>
      <c r="C39" s="11"/>
    </row>
    <row r="40" spans="1:3" s="12" customFormat="1" ht="31.5" x14ac:dyDescent="0.25">
      <c r="A40" s="13" t="s">
        <v>48</v>
      </c>
      <c r="B40" s="6" t="s">
        <v>49</v>
      </c>
      <c r="C40" s="11"/>
    </row>
    <row r="41" spans="1:3" s="12" customFormat="1" x14ac:dyDescent="0.25">
      <c r="A41" s="13" t="s">
        <v>76</v>
      </c>
      <c r="B41" s="6" t="s">
        <v>77</v>
      </c>
      <c r="C41" s="11"/>
    </row>
    <row r="42" spans="1:3" s="12" customFormat="1" x14ac:dyDescent="0.25">
      <c r="A42" s="13" t="s">
        <v>91</v>
      </c>
      <c r="B42" s="6" t="s">
        <v>92</v>
      </c>
      <c r="C42" s="11"/>
    </row>
    <row r="43" spans="1:3" s="12" customFormat="1" x14ac:dyDescent="0.25">
      <c r="A43" s="13" t="s">
        <v>95</v>
      </c>
      <c r="B43" s="6" t="s">
        <v>96</v>
      </c>
      <c r="C43" s="11"/>
    </row>
    <row r="44" spans="1:3" s="12" customFormat="1" x14ac:dyDescent="0.25">
      <c r="A44" s="13" t="s">
        <v>115</v>
      </c>
      <c r="B44" s="6" t="s">
        <v>116</v>
      </c>
      <c r="C44" s="11"/>
    </row>
    <row r="45" spans="1:3" s="12" customFormat="1" x14ac:dyDescent="0.25">
      <c r="A45" s="13" t="s">
        <v>117</v>
      </c>
      <c r="B45" s="6" t="s">
        <v>118</v>
      </c>
      <c r="C45" s="11"/>
    </row>
    <row r="46" spans="1:3" s="12" customFormat="1" x14ac:dyDescent="0.25">
      <c r="A46" s="6" t="s">
        <v>136</v>
      </c>
      <c r="B46" s="6" t="s">
        <v>137</v>
      </c>
      <c r="C46" s="17"/>
    </row>
    <row r="47" spans="1:3" s="12" customFormat="1" x14ac:dyDescent="0.25">
      <c r="A47" s="6"/>
      <c r="B47" s="6"/>
    </row>
    <row r="48" spans="1:3" s="12" customFormat="1" x14ac:dyDescent="0.25">
      <c r="A48" s="1" t="s">
        <v>2</v>
      </c>
      <c r="B48" s="7"/>
      <c r="C48" s="7"/>
    </row>
    <row r="49" spans="1:8" s="12" customFormat="1" x14ac:dyDescent="0.25">
      <c r="A49" s="13" t="s">
        <v>40</v>
      </c>
      <c r="B49" s="6" t="s">
        <v>41</v>
      </c>
      <c r="C49" s="11"/>
    </row>
    <row r="50" spans="1:8" s="12" customFormat="1" x14ac:dyDescent="0.25">
      <c r="A50" s="13" t="s">
        <v>64</v>
      </c>
      <c r="B50" s="6" t="s">
        <v>65</v>
      </c>
      <c r="C50" s="11"/>
    </row>
    <row r="51" spans="1:8" s="12" customFormat="1" x14ac:dyDescent="0.25">
      <c r="A51" s="13" t="s">
        <v>99</v>
      </c>
      <c r="B51" s="6" t="s">
        <v>100</v>
      </c>
      <c r="C51" s="11"/>
    </row>
    <row r="52" spans="1:8" s="12" customFormat="1" x14ac:dyDescent="0.25">
      <c r="A52" s="13" t="s">
        <v>103</v>
      </c>
      <c r="B52" s="6" t="s">
        <v>104</v>
      </c>
      <c r="C52" s="11"/>
      <c r="H52" s="12" t="s">
        <v>178</v>
      </c>
    </row>
    <row r="53" spans="1:8" s="12" customFormat="1" ht="31.5" x14ac:dyDescent="0.25">
      <c r="A53" s="13" t="s">
        <v>113</v>
      </c>
      <c r="B53" s="6" t="s">
        <v>114</v>
      </c>
      <c r="C53" s="11"/>
    </row>
    <row r="54" spans="1:8" s="12" customFormat="1" ht="31.5" x14ac:dyDescent="0.25">
      <c r="A54" s="13" t="s">
        <v>119</v>
      </c>
      <c r="B54" s="6" t="s">
        <v>120</v>
      </c>
      <c r="C54" s="11"/>
    </row>
    <row r="55" spans="1:8" s="12" customFormat="1" x14ac:dyDescent="0.25">
      <c r="A55" s="11" t="s">
        <v>161</v>
      </c>
      <c r="B55" s="6" t="s">
        <v>162</v>
      </c>
      <c r="C55" s="17"/>
    </row>
    <row r="56" spans="1:8" s="12" customFormat="1" x14ac:dyDescent="0.25"/>
    <row r="57" spans="1:8" s="12" customFormat="1" x14ac:dyDescent="0.25">
      <c r="A57" s="37" t="s">
        <v>18</v>
      </c>
      <c r="B57" s="7"/>
      <c r="C57" s="7"/>
    </row>
    <row r="58" spans="1:8" s="12" customFormat="1" ht="31.5" x14ac:dyDescent="0.25">
      <c r="A58" s="13" t="s">
        <v>29</v>
      </c>
      <c r="B58" s="6" t="s">
        <v>30</v>
      </c>
      <c r="C58" s="11"/>
    </row>
    <row r="59" spans="1:8" s="12" customFormat="1" x14ac:dyDescent="0.25">
      <c r="A59" s="13" t="s">
        <v>66</v>
      </c>
      <c r="B59" s="6" t="s">
        <v>24</v>
      </c>
      <c r="C59" s="11"/>
    </row>
    <row r="60" spans="1:8" s="12" customFormat="1" x14ac:dyDescent="0.25">
      <c r="A60" s="13" t="s">
        <v>67</v>
      </c>
      <c r="B60" s="6" t="s">
        <v>55</v>
      </c>
      <c r="C60" s="11"/>
    </row>
    <row r="61" spans="1:8" s="12" customFormat="1" x14ac:dyDescent="0.25">
      <c r="A61" s="13" t="s">
        <v>89</v>
      </c>
      <c r="B61" s="6" t="s">
        <v>90</v>
      </c>
      <c r="C61" s="11"/>
    </row>
    <row r="62" spans="1:8" s="12" customFormat="1" x14ac:dyDescent="0.25">
      <c r="A62" s="13" t="s">
        <v>125</v>
      </c>
      <c r="B62" s="6" t="s">
        <v>126</v>
      </c>
      <c r="C62" s="11"/>
    </row>
    <row r="63" spans="1:8" s="12" customFormat="1" x14ac:dyDescent="0.25">
      <c r="A63" s="13" t="s">
        <v>127</v>
      </c>
      <c r="B63" s="6" t="s">
        <v>128</v>
      </c>
      <c r="C63" s="11"/>
    </row>
    <row r="64" spans="1:8" s="12" customFormat="1" x14ac:dyDescent="0.25">
      <c r="A64" s="13" t="s">
        <v>129</v>
      </c>
      <c r="B64" s="6" t="s">
        <v>130</v>
      </c>
      <c r="C64" s="11"/>
    </row>
    <row r="65" spans="1:3" s="12" customFormat="1" x14ac:dyDescent="0.25">
      <c r="A65" s="6" t="s">
        <v>138</v>
      </c>
      <c r="B65" s="6" t="s">
        <v>139</v>
      </c>
      <c r="C65" s="17"/>
    </row>
    <row r="66" spans="1:3" s="12" customFormat="1" x14ac:dyDescent="0.25">
      <c r="A66" s="6" t="s">
        <v>140</v>
      </c>
      <c r="B66" s="6" t="s">
        <v>141</v>
      </c>
      <c r="C66" s="11"/>
    </row>
    <row r="67" spans="1:3" s="12" customFormat="1" x14ac:dyDescent="0.25">
      <c r="A67" s="6" t="s">
        <v>151</v>
      </c>
      <c r="B67" s="6" t="s">
        <v>152</v>
      </c>
      <c r="C67" s="17"/>
    </row>
    <row r="68" spans="1:3" s="12" customFormat="1" x14ac:dyDescent="0.25">
      <c r="A68" s="6" t="s">
        <v>157</v>
      </c>
      <c r="B68" s="6" t="s">
        <v>158</v>
      </c>
      <c r="C68" s="17"/>
    </row>
    <row r="69" spans="1:3" s="12" customFormat="1" x14ac:dyDescent="0.25">
      <c r="A69" s="6" t="s">
        <v>159</v>
      </c>
      <c r="B69" s="6" t="s">
        <v>160</v>
      </c>
      <c r="C69" s="17"/>
    </row>
    <row r="70" spans="1:3" s="12" customFormat="1" x14ac:dyDescent="0.25">
      <c r="A70" s="6" t="s">
        <v>168</v>
      </c>
      <c r="B70" s="6" t="s">
        <v>169</v>
      </c>
      <c r="C70" s="17"/>
    </row>
    <row r="71" spans="1:3" s="12" customFormat="1" x14ac:dyDescent="0.25">
      <c r="A71" s="6"/>
      <c r="B71" s="6"/>
      <c r="C71" s="11"/>
    </row>
    <row r="72" spans="1:3" s="12" customFormat="1" x14ac:dyDescent="0.25">
      <c r="A72" s="1" t="s">
        <v>19</v>
      </c>
      <c r="B72" s="11"/>
      <c r="C72" s="11"/>
    </row>
    <row r="73" spans="1:3" s="12" customFormat="1" x14ac:dyDescent="0.25">
      <c r="A73" s="13" t="s">
        <v>46</v>
      </c>
      <c r="B73" s="6" t="s">
        <v>47</v>
      </c>
      <c r="C73" s="11"/>
    </row>
    <row r="74" spans="1:3" s="12" customFormat="1" x14ac:dyDescent="0.25">
      <c r="A74" s="6" t="s">
        <v>142</v>
      </c>
      <c r="B74" s="6" t="s">
        <v>143</v>
      </c>
      <c r="C74" s="17"/>
    </row>
    <row r="75" spans="1:3" s="12" customFormat="1" x14ac:dyDescent="0.25">
      <c r="A75" s="6" t="s">
        <v>144</v>
      </c>
      <c r="B75" s="6" t="s">
        <v>55</v>
      </c>
      <c r="C75" s="17"/>
    </row>
    <row r="76" spans="1:3" s="12" customFormat="1" x14ac:dyDescent="0.25">
      <c r="A76" s="6" t="s">
        <v>147</v>
      </c>
      <c r="B76" s="6" t="s">
        <v>148</v>
      </c>
      <c r="C76" s="17"/>
    </row>
    <row r="77" spans="1:3" s="12" customFormat="1" x14ac:dyDescent="0.25">
      <c r="A77" s="6" t="s">
        <v>149</v>
      </c>
      <c r="B77" s="6" t="s">
        <v>150</v>
      </c>
      <c r="C77" s="17"/>
    </row>
    <row r="78" spans="1:3" s="12" customFormat="1" x14ac:dyDescent="0.25">
      <c r="A78" s="6" t="s">
        <v>155</v>
      </c>
      <c r="B78" s="6" t="s">
        <v>156</v>
      </c>
      <c r="C78" s="17"/>
    </row>
    <row r="79" spans="1:3" s="12" customFormat="1" x14ac:dyDescent="0.25">
      <c r="A79" s="11"/>
      <c r="B79" s="11"/>
      <c r="C79" s="11"/>
    </row>
    <row r="80" spans="1:3" s="12" customFormat="1" x14ac:dyDescent="0.25">
      <c r="A80" s="37" t="s">
        <v>20</v>
      </c>
      <c r="B80" s="11"/>
      <c r="C80" s="11"/>
    </row>
    <row r="81" spans="1:16" s="12" customFormat="1" x14ac:dyDescent="0.25">
      <c r="A81" s="13" t="s">
        <v>34</v>
      </c>
      <c r="B81" s="6" t="s">
        <v>35</v>
      </c>
      <c r="C81" s="11"/>
      <c r="D81" s="38">
        <v>3</v>
      </c>
      <c r="E81" s="38">
        <v>5</v>
      </c>
      <c r="F81" s="38">
        <v>2</v>
      </c>
      <c r="G81" s="38">
        <v>2</v>
      </c>
      <c r="I81" s="12">
        <f>STANDARDIZE(D81,$I$1,$K$1)</f>
        <v>-0.42400344468416806</v>
      </c>
      <c r="J81" s="12">
        <f t="shared" ref="J81:L81" si="1">STANDARDIZE(E81,$I$1,$K$1)</f>
        <v>1.209195008914109</v>
      </c>
      <c r="K81" s="12">
        <f t="shared" si="1"/>
        <v>-1.2406026714833065</v>
      </c>
      <c r="L81" s="12">
        <f t="shared" si="1"/>
        <v>-1.2406026714833065</v>
      </c>
    </row>
    <row r="82" spans="1:16" s="12" customFormat="1" x14ac:dyDescent="0.25">
      <c r="A82" s="13" t="s">
        <v>52</v>
      </c>
      <c r="B82" s="6" t="s">
        <v>53</v>
      </c>
      <c r="C82" s="11"/>
      <c r="D82" s="38">
        <v>4</v>
      </c>
      <c r="E82" s="38">
        <v>4</v>
      </c>
      <c r="F82" s="38">
        <v>3</v>
      </c>
      <c r="G82" s="38">
        <v>3</v>
      </c>
      <c r="I82" s="12">
        <f t="shared" ref="I82:I93" si="2">STANDARDIZE(D82,$I$1,$K$1)</f>
        <v>0.39259578211497054</v>
      </c>
      <c r="J82" s="12">
        <f t="shared" ref="J82:J93" si="3">STANDARDIZE(E82,$I$1,$K$1)</f>
        <v>0.39259578211497054</v>
      </c>
      <c r="K82" s="12">
        <f t="shared" ref="K82:K93" si="4">STANDARDIZE(F82,$I$1,$K$1)</f>
        <v>-0.42400344468416806</v>
      </c>
      <c r="L82" s="12">
        <f t="shared" ref="L82:L93" si="5">STANDARDIZE(G82,$I$1,$K$1)</f>
        <v>-0.42400344468416806</v>
      </c>
    </row>
    <row r="83" spans="1:16" s="12" customFormat="1" x14ac:dyDescent="0.25">
      <c r="A83" s="13" t="s">
        <v>58</v>
      </c>
      <c r="B83" s="6" t="s">
        <v>59</v>
      </c>
      <c r="C83" s="11"/>
      <c r="D83" s="38">
        <v>3</v>
      </c>
      <c r="E83" s="38">
        <v>1</v>
      </c>
      <c r="F83" s="38">
        <v>3</v>
      </c>
      <c r="G83" s="38">
        <v>3</v>
      </c>
      <c r="I83" s="12">
        <f t="shared" si="2"/>
        <v>-0.42400344468416806</v>
      </c>
      <c r="J83" s="12">
        <f t="shared" si="3"/>
        <v>-2.0572018982824454</v>
      </c>
      <c r="K83" s="12">
        <f t="shared" si="4"/>
        <v>-0.42400344468416806</v>
      </c>
      <c r="L83" s="12">
        <f t="shared" si="5"/>
        <v>-0.42400344468416806</v>
      </c>
    </row>
    <row r="84" spans="1:16" s="12" customFormat="1" x14ac:dyDescent="0.25">
      <c r="A84" s="13" t="s">
        <v>62</v>
      </c>
      <c r="B84" s="6" t="s">
        <v>63</v>
      </c>
      <c r="C84" s="11"/>
      <c r="D84" s="38">
        <v>3</v>
      </c>
      <c r="E84" s="38">
        <v>3</v>
      </c>
      <c r="F84" s="38">
        <v>1</v>
      </c>
      <c r="G84" s="38">
        <v>1</v>
      </c>
      <c r="I84" s="12">
        <f t="shared" si="2"/>
        <v>-0.42400344468416806</v>
      </c>
      <c r="J84" s="12">
        <f t="shared" si="3"/>
        <v>-0.42400344468416806</v>
      </c>
      <c r="K84" s="12">
        <f t="shared" si="4"/>
        <v>-2.0572018982824454</v>
      </c>
      <c r="L84" s="12">
        <f t="shared" si="5"/>
        <v>-2.0572018982824454</v>
      </c>
    </row>
    <row r="85" spans="1:16" s="12" customFormat="1" x14ac:dyDescent="0.25">
      <c r="A85" s="13" t="s">
        <v>68</v>
      </c>
      <c r="B85" s="6" t="s">
        <v>69</v>
      </c>
      <c r="C85" s="11"/>
      <c r="D85" s="38">
        <v>5</v>
      </c>
      <c r="E85" s="38">
        <v>3.5</v>
      </c>
      <c r="F85" s="38">
        <v>2</v>
      </c>
      <c r="G85" s="38">
        <v>4</v>
      </c>
      <c r="I85" s="12">
        <f t="shared" si="2"/>
        <v>1.209195008914109</v>
      </c>
      <c r="J85" s="12">
        <f t="shared" si="3"/>
        <v>-1.5703831284598763E-2</v>
      </c>
      <c r="K85" s="12">
        <f t="shared" si="4"/>
        <v>-1.2406026714833065</v>
      </c>
      <c r="L85" s="12">
        <f t="shared" si="5"/>
        <v>0.39259578211497054</v>
      </c>
      <c r="P85" s="43" t="s">
        <v>184</v>
      </c>
    </row>
    <row r="86" spans="1:16" s="12" customFormat="1" x14ac:dyDescent="0.25">
      <c r="A86" s="13" t="s">
        <v>72</v>
      </c>
      <c r="B86" s="6" t="s">
        <v>73</v>
      </c>
      <c r="C86" s="11"/>
      <c r="D86" s="38">
        <v>4</v>
      </c>
      <c r="E86" s="38">
        <v>3</v>
      </c>
      <c r="F86" s="38">
        <v>3</v>
      </c>
      <c r="G86" s="38">
        <v>4</v>
      </c>
      <c r="I86" s="12">
        <f t="shared" si="2"/>
        <v>0.39259578211497054</v>
      </c>
      <c r="J86" s="12">
        <f t="shared" si="3"/>
        <v>-0.42400344468416806</v>
      </c>
      <c r="K86" s="12">
        <f t="shared" si="4"/>
        <v>-0.42400344468416806</v>
      </c>
      <c r="L86" s="12">
        <f t="shared" si="5"/>
        <v>0.39259578211497054</v>
      </c>
      <c r="P86" s="38" t="s">
        <v>185</v>
      </c>
    </row>
    <row r="87" spans="1:16" s="12" customFormat="1" x14ac:dyDescent="0.25">
      <c r="A87" s="13" t="s">
        <v>74</v>
      </c>
      <c r="B87" s="6" t="s">
        <v>75</v>
      </c>
      <c r="C87" s="11"/>
      <c r="D87" s="38">
        <v>5</v>
      </c>
      <c r="E87" s="38">
        <v>5</v>
      </c>
      <c r="F87" s="38">
        <v>3.5</v>
      </c>
      <c r="G87" s="38">
        <v>4</v>
      </c>
      <c r="I87" s="12">
        <f t="shared" si="2"/>
        <v>1.209195008914109</v>
      </c>
      <c r="J87" s="12">
        <f t="shared" si="3"/>
        <v>1.209195008914109</v>
      </c>
      <c r="K87" s="12">
        <f t="shared" si="4"/>
        <v>-1.5703831284598763E-2</v>
      </c>
      <c r="L87" s="12">
        <f t="shared" si="5"/>
        <v>0.39259578211497054</v>
      </c>
      <c r="P87" s="38" t="s">
        <v>186</v>
      </c>
    </row>
    <row r="88" spans="1:16" s="12" customFormat="1" x14ac:dyDescent="0.25">
      <c r="A88" s="13" t="s">
        <v>83</v>
      </c>
      <c r="B88" s="6" t="s">
        <v>84</v>
      </c>
      <c r="C88" s="11"/>
      <c r="D88" s="39">
        <v>5</v>
      </c>
      <c r="E88" s="39">
        <v>5</v>
      </c>
      <c r="F88" s="39">
        <v>3</v>
      </c>
      <c r="G88" s="39">
        <v>5</v>
      </c>
      <c r="I88" s="12">
        <f t="shared" si="2"/>
        <v>1.209195008914109</v>
      </c>
      <c r="J88" s="12">
        <f t="shared" si="3"/>
        <v>1.209195008914109</v>
      </c>
      <c r="K88" s="12">
        <f t="shared" si="4"/>
        <v>-0.42400344468416806</v>
      </c>
      <c r="L88" s="12">
        <f t="shared" si="5"/>
        <v>1.209195008914109</v>
      </c>
      <c r="P88" s="39" t="s">
        <v>187</v>
      </c>
    </row>
    <row r="89" spans="1:16" s="12" customFormat="1" x14ac:dyDescent="0.25">
      <c r="A89" s="13" t="s">
        <v>87</v>
      </c>
      <c r="B89" s="6" t="s">
        <v>88</v>
      </c>
      <c r="C89" s="11"/>
      <c r="D89" s="38">
        <v>4</v>
      </c>
      <c r="E89" s="38">
        <v>4</v>
      </c>
      <c r="F89" s="38">
        <v>2</v>
      </c>
      <c r="G89" s="38">
        <v>1</v>
      </c>
      <c r="I89" s="12">
        <f t="shared" si="2"/>
        <v>0.39259578211497054</v>
      </c>
      <c r="J89" s="12">
        <f t="shared" si="3"/>
        <v>0.39259578211497054</v>
      </c>
      <c r="K89" s="12">
        <f t="shared" si="4"/>
        <v>-1.2406026714833065</v>
      </c>
      <c r="L89" s="12">
        <f t="shared" si="5"/>
        <v>-2.0572018982824454</v>
      </c>
      <c r="P89" s="42"/>
    </row>
    <row r="90" spans="1:16" s="12" customFormat="1" x14ac:dyDescent="0.25">
      <c r="A90" s="13" t="s">
        <v>93</v>
      </c>
      <c r="B90" s="6" t="s">
        <v>94</v>
      </c>
      <c r="C90" s="11"/>
      <c r="D90" s="40">
        <v>4</v>
      </c>
      <c r="E90" s="40">
        <v>5</v>
      </c>
      <c r="F90" s="40">
        <v>5</v>
      </c>
      <c r="G90" s="40">
        <v>4</v>
      </c>
      <c r="I90" s="12">
        <f t="shared" si="2"/>
        <v>0.39259578211497054</v>
      </c>
      <c r="J90" s="12">
        <f t="shared" si="3"/>
        <v>1.209195008914109</v>
      </c>
      <c r="K90" s="12">
        <f t="shared" si="4"/>
        <v>1.209195008914109</v>
      </c>
      <c r="L90" s="12">
        <f t="shared" si="5"/>
        <v>0.39259578211497054</v>
      </c>
      <c r="P90" s="44" t="s">
        <v>188</v>
      </c>
    </row>
    <row r="91" spans="1:16" s="12" customFormat="1" x14ac:dyDescent="0.25">
      <c r="A91" s="13" t="s">
        <v>105</v>
      </c>
      <c r="B91" s="6" t="s">
        <v>106</v>
      </c>
      <c r="C91" s="11"/>
      <c r="D91" s="41">
        <v>4</v>
      </c>
      <c r="E91" s="41">
        <v>5</v>
      </c>
      <c r="F91" s="41">
        <v>5</v>
      </c>
      <c r="G91" s="41">
        <v>5</v>
      </c>
      <c r="I91" s="12">
        <f t="shared" si="2"/>
        <v>0.39259578211497054</v>
      </c>
      <c r="J91" s="12">
        <f t="shared" si="3"/>
        <v>1.209195008914109</v>
      </c>
      <c r="K91" s="12">
        <f t="shared" si="4"/>
        <v>1.209195008914109</v>
      </c>
      <c r="L91" s="12">
        <f t="shared" si="5"/>
        <v>1.209195008914109</v>
      </c>
      <c r="P91" s="45" t="s">
        <v>189</v>
      </c>
    </row>
    <row r="92" spans="1:16" s="12" customFormat="1" x14ac:dyDescent="0.25">
      <c r="A92" s="6" t="s">
        <v>131</v>
      </c>
      <c r="B92" s="6" t="s">
        <v>57</v>
      </c>
      <c r="C92" s="11"/>
      <c r="D92" s="38">
        <v>3</v>
      </c>
      <c r="E92" s="38">
        <v>4</v>
      </c>
      <c r="F92" s="38">
        <v>3</v>
      </c>
      <c r="G92" s="38">
        <v>3</v>
      </c>
      <c r="I92" s="12">
        <f t="shared" si="2"/>
        <v>-0.42400344468416806</v>
      </c>
      <c r="J92" s="12">
        <f t="shared" si="3"/>
        <v>0.39259578211497054</v>
      </c>
      <c r="K92" s="12">
        <f t="shared" si="4"/>
        <v>-0.42400344468416806</v>
      </c>
      <c r="L92" s="12">
        <f t="shared" si="5"/>
        <v>-0.42400344468416806</v>
      </c>
      <c r="P92" s="43" t="s">
        <v>190</v>
      </c>
    </row>
    <row r="93" spans="1:16" s="12" customFormat="1" x14ac:dyDescent="0.25">
      <c r="A93" s="6" t="s">
        <v>132</v>
      </c>
      <c r="B93" s="6" t="s">
        <v>133</v>
      </c>
      <c r="C93" s="11"/>
      <c r="D93" s="38">
        <v>5</v>
      </c>
      <c r="E93" s="38">
        <v>5</v>
      </c>
      <c r="F93" s="38">
        <v>2</v>
      </c>
      <c r="G93" s="38">
        <v>2</v>
      </c>
      <c r="I93" s="12">
        <f t="shared" si="2"/>
        <v>1.209195008914109</v>
      </c>
      <c r="J93" s="12">
        <f t="shared" si="3"/>
        <v>1.209195008914109</v>
      </c>
      <c r="K93" s="12">
        <f t="shared" si="4"/>
        <v>-1.2406026714833065</v>
      </c>
      <c r="L93" s="12">
        <f t="shared" si="5"/>
        <v>-1.2406026714833065</v>
      </c>
      <c r="P93" s="43" t="s">
        <v>191</v>
      </c>
    </row>
    <row r="94" spans="1:16" s="12" customFormat="1" x14ac:dyDescent="0.25"/>
    <row r="95" spans="1:16" x14ac:dyDescent="0.25">
      <c r="A95" s="35" t="s">
        <v>8</v>
      </c>
      <c r="B95" s="9"/>
      <c r="C95" s="15"/>
      <c r="D95" s="9"/>
      <c r="E95" s="9"/>
      <c r="F95" s="9"/>
      <c r="G95" s="9"/>
    </row>
    <row r="96" spans="1:16" x14ac:dyDescent="0.25">
      <c r="A96" s="36" t="s">
        <v>9</v>
      </c>
      <c r="C96" s="12"/>
    </row>
    <row r="97" spans="1:3" x14ac:dyDescent="0.25">
      <c r="A97" s="36" t="s">
        <v>10</v>
      </c>
      <c r="C97" s="12"/>
    </row>
    <row r="98" spans="1:3" x14ac:dyDescent="0.25">
      <c r="A98" s="36" t="s">
        <v>11</v>
      </c>
      <c r="C98" s="12"/>
    </row>
    <row r="99" spans="1:3" x14ac:dyDescent="0.25">
      <c r="A99" s="36" t="s">
        <v>12</v>
      </c>
      <c r="C99" s="12"/>
    </row>
    <row r="100" spans="1:3" x14ac:dyDescent="0.25">
      <c r="A100" s="36" t="s">
        <v>13</v>
      </c>
      <c r="C100" s="12"/>
    </row>
    <row r="101" spans="1:3" x14ac:dyDescent="0.25">
      <c r="C101" s="12"/>
    </row>
    <row r="102" spans="1:3" x14ac:dyDescent="0.25">
      <c r="C102" s="12"/>
    </row>
    <row r="103" spans="1:3" x14ac:dyDescent="0.25">
      <c r="C103" s="12"/>
    </row>
    <row r="104" spans="1:3" x14ac:dyDescent="0.25">
      <c r="C104" s="12"/>
    </row>
    <row r="105" spans="1:3" x14ac:dyDescent="0.25">
      <c r="C105" s="12"/>
    </row>
    <row r="106" spans="1:3" x14ac:dyDescent="0.25">
      <c r="C106" s="12"/>
    </row>
    <row r="107" spans="1:3" x14ac:dyDescent="0.25">
      <c r="C107" s="12"/>
    </row>
    <row r="108" spans="1:3" x14ac:dyDescent="0.25">
      <c r="C108" s="12"/>
    </row>
    <row r="109" spans="1:3" x14ac:dyDescent="0.25">
      <c r="C109" s="12"/>
    </row>
    <row r="110" spans="1:3" x14ac:dyDescent="0.25">
      <c r="C110" s="12"/>
    </row>
    <row r="111" spans="1:3" x14ac:dyDescent="0.25">
      <c r="C111" s="12"/>
    </row>
    <row r="112" spans="1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  <row r="159" spans="3:3" x14ac:dyDescent="0.25">
      <c r="C159" s="12"/>
    </row>
    <row r="160" spans="3:3" x14ac:dyDescent="0.25">
      <c r="C160" s="12"/>
    </row>
    <row r="161" spans="3:3" x14ac:dyDescent="0.25">
      <c r="C161" s="12"/>
    </row>
    <row r="162" spans="3:3" x14ac:dyDescent="0.25">
      <c r="C162" s="12"/>
    </row>
    <row r="163" spans="3:3" x14ac:dyDescent="0.25">
      <c r="C163" s="12"/>
    </row>
    <row r="164" spans="3:3" x14ac:dyDescent="0.25">
      <c r="C164" s="12"/>
    </row>
    <row r="165" spans="3:3" x14ac:dyDescent="0.25">
      <c r="C165" s="12"/>
    </row>
    <row r="166" spans="3:3" x14ac:dyDescent="0.25">
      <c r="C166" s="12"/>
    </row>
    <row r="167" spans="3:3" x14ac:dyDescent="0.25">
      <c r="C167" s="12"/>
    </row>
    <row r="168" spans="3:3" x14ac:dyDescent="0.25">
      <c r="C168" s="12"/>
    </row>
    <row r="169" spans="3:3" x14ac:dyDescent="0.25">
      <c r="C169" s="12"/>
    </row>
    <row r="170" spans="3:3" x14ac:dyDescent="0.25">
      <c r="C170" s="12"/>
    </row>
    <row r="171" spans="3:3" x14ac:dyDescent="0.25">
      <c r="C171" s="12"/>
    </row>
    <row r="172" spans="3:3" x14ac:dyDescent="0.25">
      <c r="C172" s="12"/>
    </row>
    <row r="173" spans="3:3" x14ac:dyDescent="0.25">
      <c r="C173" s="12"/>
    </row>
    <row r="174" spans="3:3" x14ac:dyDescent="0.25">
      <c r="C174" s="12"/>
    </row>
    <row r="175" spans="3:3" x14ac:dyDescent="0.25">
      <c r="C175" s="12"/>
    </row>
    <row r="176" spans="3:3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3" x14ac:dyDescent="0.25">
      <c r="C193" s="12"/>
    </row>
    <row r="194" spans="3:3" x14ac:dyDescent="0.25">
      <c r="C194" s="12"/>
    </row>
    <row r="195" spans="3:3" x14ac:dyDescent="0.25">
      <c r="C195" s="12"/>
    </row>
    <row r="196" spans="3:3" x14ac:dyDescent="0.25">
      <c r="C196" s="12"/>
    </row>
    <row r="197" spans="3:3" x14ac:dyDescent="0.25">
      <c r="C197" s="12"/>
    </row>
    <row r="198" spans="3:3" x14ac:dyDescent="0.25">
      <c r="C198" s="12"/>
    </row>
    <row r="199" spans="3:3" x14ac:dyDescent="0.25">
      <c r="C199" s="12"/>
    </row>
    <row r="200" spans="3:3" x14ac:dyDescent="0.25">
      <c r="C200" s="12"/>
    </row>
    <row r="201" spans="3:3" x14ac:dyDescent="0.25">
      <c r="C201" s="12"/>
    </row>
    <row r="202" spans="3:3" x14ac:dyDescent="0.25">
      <c r="C202" s="12"/>
    </row>
    <row r="203" spans="3:3" x14ac:dyDescent="0.25">
      <c r="C203" s="12"/>
    </row>
    <row r="204" spans="3:3" x14ac:dyDescent="0.25">
      <c r="C204" s="12"/>
    </row>
    <row r="205" spans="3:3" x14ac:dyDescent="0.25">
      <c r="C205" s="12"/>
    </row>
    <row r="206" spans="3:3" x14ac:dyDescent="0.25">
      <c r="C206" s="12"/>
    </row>
    <row r="207" spans="3:3" x14ac:dyDescent="0.25">
      <c r="C207" s="12"/>
    </row>
    <row r="208" spans="3:3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  <row r="244" spans="3:3" x14ac:dyDescent="0.25">
      <c r="C244" s="12"/>
    </row>
    <row r="245" spans="3:3" x14ac:dyDescent="0.25">
      <c r="C245" s="12"/>
    </row>
    <row r="246" spans="3:3" x14ac:dyDescent="0.25">
      <c r="C246" s="12"/>
    </row>
    <row r="247" spans="3:3" x14ac:dyDescent="0.25">
      <c r="C247" s="12"/>
    </row>
    <row r="248" spans="3:3" x14ac:dyDescent="0.25">
      <c r="C248" s="12"/>
    </row>
    <row r="249" spans="3:3" x14ac:dyDescent="0.25">
      <c r="C249" s="12"/>
    </row>
    <row r="250" spans="3:3" x14ac:dyDescent="0.25">
      <c r="C250" s="12"/>
    </row>
    <row r="251" spans="3:3" x14ac:dyDescent="0.25">
      <c r="C251" s="12"/>
    </row>
    <row r="252" spans="3:3" x14ac:dyDescent="0.25">
      <c r="C252" s="12"/>
    </row>
    <row r="253" spans="3:3" x14ac:dyDescent="0.25">
      <c r="C253" s="12"/>
    </row>
    <row r="254" spans="3:3" x14ac:dyDescent="0.25">
      <c r="C254" s="12"/>
    </row>
    <row r="255" spans="3:3" x14ac:dyDescent="0.25">
      <c r="C255" s="12"/>
    </row>
    <row r="256" spans="3:3" x14ac:dyDescent="0.25">
      <c r="C256" s="12"/>
    </row>
    <row r="257" spans="3:3" x14ac:dyDescent="0.25">
      <c r="C257" s="12"/>
    </row>
    <row r="258" spans="3:3" x14ac:dyDescent="0.25">
      <c r="C258" s="12"/>
    </row>
    <row r="259" spans="3:3" x14ac:dyDescent="0.25">
      <c r="C259" s="12"/>
    </row>
    <row r="260" spans="3:3" x14ac:dyDescent="0.25">
      <c r="C260" s="12"/>
    </row>
    <row r="261" spans="3:3" x14ac:dyDescent="0.25">
      <c r="C261" s="12"/>
    </row>
    <row r="262" spans="3:3" x14ac:dyDescent="0.25">
      <c r="C262" s="12"/>
    </row>
    <row r="263" spans="3:3" x14ac:dyDescent="0.25">
      <c r="C263" s="12"/>
    </row>
    <row r="264" spans="3:3" x14ac:dyDescent="0.25">
      <c r="C264" s="12"/>
    </row>
    <row r="265" spans="3:3" x14ac:dyDescent="0.25">
      <c r="C265" s="12"/>
    </row>
    <row r="266" spans="3:3" x14ac:dyDescent="0.25">
      <c r="C266" s="12"/>
    </row>
    <row r="267" spans="3:3" x14ac:dyDescent="0.25">
      <c r="C267" s="12"/>
    </row>
    <row r="268" spans="3:3" x14ac:dyDescent="0.25">
      <c r="C268" s="12"/>
    </row>
    <row r="269" spans="3:3" x14ac:dyDescent="0.25">
      <c r="C269" s="12"/>
    </row>
    <row r="270" spans="3:3" x14ac:dyDescent="0.25">
      <c r="C270" s="12"/>
    </row>
    <row r="271" spans="3:3" x14ac:dyDescent="0.25">
      <c r="C271" s="12"/>
    </row>
    <row r="272" spans="3:3" x14ac:dyDescent="0.25">
      <c r="C272" s="12"/>
    </row>
    <row r="273" spans="3:3" x14ac:dyDescent="0.25">
      <c r="C273" s="12"/>
    </row>
    <row r="274" spans="3:3" x14ac:dyDescent="0.25">
      <c r="C274" s="12"/>
    </row>
    <row r="275" spans="3:3" x14ac:dyDescent="0.25">
      <c r="C275" s="12"/>
    </row>
    <row r="276" spans="3:3" x14ac:dyDescent="0.25">
      <c r="C276" s="12"/>
    </row>
    <row r="277" spans="3:3" x14ac:dyDescent="0.25">
      <c r="C277" s="12"/>
    </row>
    <row r="278" spans="3:3" x14ac:dyDescent="0.25">
      <c r="C278" s="12"/>
    </row>
    <row r="279" spans="3:3" x14ac:dyDescent="0.25">
      <c r="C279" s="12"/>
    </row>
    <row r="280" spans="3:3" x14ac:dyDescent="0.25">
      <c r="C280" s="12"/>
    </row>
    <row r="281" spans="3:3" x14ac:dyDescent="0.25">
      <c r="C281" s="12"/>
    </row>
    <row r="282" spans="3:3" x14ac:dyDescent="0.25">
      <c r="C282" s="12"/>
    </row>
    <row r="283" spans="3:3" x14ac:dyDescent="0.25">
      <c r="C283" s="12"/>
    </row>
    <row r="284" spans="3:3" x14ac:dyDescent="0.25">
      <c r="C284" s="12"/>
    </row>
    <row r="285" spans="3:3" x14ac:dyDescent="0.25">
      <c r="C285" s="12"/>
    </row>
    <row r="286" spans="3:3" x14ac:dyDescent="0.25">
      <c r="C286" s="12"/>
    </row>
    <row r="287" spans="3:3" x14ac:dyDescent="0.25">
      <c r="C287" s="12"/>
    </row>
    <row r="288" spans="3:3" x14ac:dyDescent="0.25">
      <c r="C288" s="12"/>
    </row>
    <row r="289" spans="3:3" x14ac:dyDescent="0.25">
      <c r="C289" s="12"/>
    </row>
    <row r="290" spans="3:3" x14ac:dyDescent="0.25">
      <c r="C290" s="12"/>
    </row>
    <row r="291" spans="3:3" x14ac:dyDescent="0.25">
      <c r="C291" s="12"/>
    </row>
    <row r="292" spans="3:3" x14ac:dyDescent="0.25">
      <c r="C292" s="12"/>
    </row>
    <row r="293" spans="3:3" x14ac:dyDescent="0.25">
      <c r="C293" s="12"/>
    </row>
    <row r="294" spans="3:3" x14ac:dyDescent="0.25">
      <c r="C294" s="12"/>
    </row>
    <row r="295" spans="3:3" x14ac:dyDescent="0.25">
      <c r="C295" s="12"/>
    </row>
    <row r="296" spans="3:3" x14ac:dyDescent="0.25">
      <c r="C296" s="12"/>
    </row>
    <row r="297" spans="3:3" x14ac:dyDescent="0.25">
      <c r="C297" s="12"/>
    </row>
    <row r="298" spans="3:3" x14ac:dyDescent="0.25">
      <c r="C298" s="12"/>
    </row>
    <row r="299" spans="3:3" x14ac:dyDescent="0.25">
      <c r="C299" s="12"/>
    </row>
    <row r="300" spans="3:3" x14ac:dyDescent="0.25">
      <c r="C300" s="12"/>
    </row>
    <row r="301" spans="3:3" x14ac:dyDescent="0.25">
      <c r="C301" s="12"/>
    </row>
    <row r="302" spans="3:3" x14ac:dyDescent="0.25">
      <c r="C302" s="12"/>
    </row>
    <row r="303" spans="3:3" x14ac:dyDescent="0.25">
      <c r="C303" s="12"/>
    </row>
    <row r="304" spans="3:3" x14ac:dyDescent="0.25">
      <c r="C304" s="12"/>
    </row>
    <row r="305" spans="3:3" x14ac:dyDescent="0.25">
      <c r="C305" s="12"/>
    </row>
    <row r="306" spans="3:3" x14ac:dyDescent="0.25">
      <c r="C306" s="12"/>
    </row>
    <row r="307" spans="3:3" x14ac:dyDescent="0.25">
      <c r="C307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</sheetData>
  <mergeCells count="8">
    <mergeCell ref="I2:L2"/>
    <mergeCell ref="B1:G1"/>
    <mergeCell ref="D2:G2"/>
    <mergeCell ref="C7:C8"/>
    <mergeCell ref="D7:D8"/>
    <mergeCell ref="E7:E8"/>
    <mergeCell ref="F7:F8"/>
    <mergeCell ref="G7:G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4" workbookViewId="0">
      <selection activeCell="A55" sqref="A55"/>
    </sheetView>
  </sheetViews>
  <sheetFormatPr defaultColWidth="13.5" defaultRowHeight="15.75" x14ac:dyDescent="0.25"/>
  <cols>
    <col min="1" max="1" width="43.125" style="58" customWidth="1"/>
    <col min="2" max="2" width="19" style="48" customWidth="1"/>
    <col min="3" max="3" width="7.625" style="48" customWidth="1"/>
    <col min="4" max="4" width="17.875" style="48" customWidth="1"/>
    <col min="5" max="5" width="21.25" style="48" customWidth="1"/>
    <col min="6" max="6" width="21.875" style="48" customWidth="1"/>
    <col min="7" max="7" width="20.875" style="48" customWidth="1"/>
    <col min="8" max="17" width="11" style="48" customWidth="1"/>
    <col min="18" max="26" width="8" style="48" customWidth="1"/>
    <col min="27" max="16384" width="13.5" style="48"/>
  </cols>
  <sheetData>
    <row r="1" spans="1:26" ht="15.75" customHeight="1" x14ac:dyDescent="0.25">
      <c r="A1" s="46" t="s">
        <v>14</v>
      </c>
      <c r="B1" s="110" t="s">
        <v>192</v>
      </c>
      <c r="C1" s="111"/>
      <c r="D1" s="111"/>
      <c r="E1" s="111"/>
      <c r="F1" s="111"/>
      <c r="G1" s="111"/>
      <c r="H1" s="47" t="s">
        <v>174</v>
      </c>
      <c r="I1" s="48">
        <f>AVERAGE(D6:G78)</f>
        <v>4.3529411764705879</v>
      </c>
      <c r="J1" s="47" t="s">
        <v>193</v>
      </c>
      <c r="K1" s="47">
        <f>_xlfn.STDEV.S(D6:G78)</f>
        <v>0.73808511161703227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 x14ac:dyDescent="0.25">
      <c r="A2" s="49"/>
      <c r="B2" s="47"/>
      <c r="C2" s="47"/>
      <c r="D2" s="112" t="s">
        <v>16</v>
      </c>
      <c r="E2" s="113"/>
      <c r="F2" s="113"/>
      <c r="G2" s="113"/>
      <c r="H2" s="47"/>
      <c r="I2" s="116" t="s">
        <v>214</v>
      </c>
      <c r="J2" s="116"/>
      <c r="K2" s="116"/>
      <c r="L2" s="11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8.75" customHeight="1" x14ac:dyDescent="0.3">
      <c r="A3" s="50" t="s">
        <v>3</v>
      </c>
      <c r="B3" s="51" t="s">
        <v>4</v>
      </c>
      <c r="C3" s="51" t="s">
        <v>17</v>
      </c>
      <c r="D3" s="51" t="s">
        <v>15</v>
      </c>
      <c r="E3" s="51" t="s">
        <v>7</v>
      </c>
      <c r="F3" s="51" t="s">
        <v>5</v>
      </c>
      <c r="G3" s="51" t="s">
        <v>6</v>
      </c>
      <c r="H3" s="52"/>
      <c r="I3" s="95" t="str">
        <f>D3</f>
        <v>Актуальность темы</v>
      </c>
      <c r="J3" s="95" t="str">
        <f t="shared" ref="J3:L3" si="0">E3</f>
        <v>Научная состовляющая</v>
      </c>
      <c r="K3" s="95" t="str">
        <f t="shared" si="0"/>
        <v>Доступность изложения</v>
      </c>
      <c r="L3" s="95" t="str">
        <f t="shared" si="0"/>
        <v>Авторский стиль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8.75" customHeight="1" x14ac:dyDescent="0.3">
      <c r="A4" s="53"/>
      <c r="B4" s="52"/>
      <c r="C4" s="4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5.75" customHeight="1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54" t="str">
        <f>HYPERLINK("http://biomolecula.ru/content/1708","От живого к неживому и обратно")</f>
        <v>От живого к неживому и обратно</v>
      </c>
      <c r="B6" s="55" t="str">
        <f>HYPERLINK("http://biomolecula.ru/authors/4319","Пучков Евгений")</f>
        <v>Пучков Евгений</v>
      </c>
      <c r="C6" s="55"/>
      <c r="D6" s="48">
        <v>4</v>
      </c>
      <c r="E6" s="48">
        <v>5</v>
      </c>
      <c r="F6" s="48">
        <v>5</v>
      </c>
      <c r="G6" s="48">
        <v>4</v>
      </c>
      <c r="H6" s="47"/>
      <c r="I6" s="47">
        <f>STANDARDIZE(D6,$I$1,$K$1)</f>
        <v>-0.47818492869656642</v>
      </c>
      <c r="J6" s="47">
        <f t="shared" ref="J6:L6" si="1">STANDARDIZE(E6,$I$1,$K$1)</f>
        <v>0.87667236927703995</v>
      </c>
      <c r="K6" s="47">
        <f t="shared" si="1"/>
        <v>0.87667236927703995</v>
      </c>
      <c r="L6" s="47">
        <f t="shared" si="1"/>
        <v>-0.47818492869656642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54" t="str">
        <f>HYPERLINK("http://biomolecula.ru/content/1741","Манипулирование. I. Паразитное манипулирование")</f>
        <v>Манипулирование. I. Паразитное манипулирование</v>
      </c>
      <c r="B7" s="55" t="str">
        <f t="shared" ref="B7:B8" si="2">HYPERLINK("http://biomolecula.ru/authors/3893","Аккизов Азамат")</f>
        <v>Аккизов Азамат</v>
      </c>
      <c r="C7" s="114"/>
      <c r="D7" s="116">
        <v>3</v>
      </c>
      <c r="E7" s="116">
        <v>4</v>
      </c>
      <c r="F7" s="116">
        <v>4</v>
      </c>
      <c r="G7" s="116">
        <v>3</v>
      </c>
      <c r="H7" s="47"/>
      <c r="I7" s="116">
        <f t="shared" ref="I7:I55" si="3">STANDARDIZE(D7,$I$1,$K$1)</f>
        <v>-1.8330422266701729</v>
      </c>
      <c r="J7" s="116">
        <f t="shared" ref="J7:J55" si="4">STANDARDIZE(E7,$I$1,$K$1)</f>
        <v>-0.47818492869656642</v>
      </c>
      <c r="K7" s="116">
        <f t="shared" ref="K7:K55" si="5">STANDARDIZE(F7,$I$1,$K$1)</f>
        <v>-0.47818492869656642</v>
      </c>
      <c r="L7" s="116">
        <f t="shared" ref="L7:L55" si="6">STANDARDIZE(G7,$I$1,$K$1)</f>
        <v>-1.8330422266701729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 x14ac:dyDescent="0.25">
      <c r="A8" s="54" t="str">
        <f>HYPERLINK("http://biomolecula.ru/content/1742","Манипулирование. II. Эмбриональное манипулирование")</f>
        <v>Манипулирование. II. Эмбриональное манипулирование</v>
      </c>
      <c r="B8" s="55" t="str">
        <f t="shared" si="2"/>
        <v>Аккизов Азамат</v>
      </c>
      <c r="C8" s="115"/>
      <c r="D8" s="115"/>
      <c r="E8" s="115"/>
      <c r="F8" s="115"/>
      <c r="G8" s="115"/>
      <c r="H8" s="47"/>
      <c r="I8" s="116"/>
      <c r="J8" s="116"/>
      <c r="K8" s="116"/>
      <c r="L8" s="11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 x14ac:dyDescent="0.25">
      <c r="A9" s="54" t="str">
        <f>HYPERLINK("http://biomolecula.ru/content/1750","Экстрим в природе")</f>
        <v>Экстрим в природе</v>
      </c>
      <c r="B9" s="55" t="str">
        <f>HYPERLINK("http://biomolecula.ru/authors/4728","Лильина Анастасия")</f>
        <v>Лильина Анастасия</v>
      </c>
      <c r="C9" s="55"/>
      <c r="D9" s="48">
        <v>5</v>
      </c>
      <c r="E9" s="48">
        <v>3</v>
      </c>
      <c r="F9" s="48">
        <v>5</v>
      </c>
      <c r="G9" s="48">
        <v>5</v>
      </c>
      <c r="H9" s="47"/>
      <c r="I9" s="47">
        <f t="shared" si="3"/>
        <v>0.87667236927703995</v>
      </c>
      <c r="J9" s="47">
        <f t="shared" si="4"/>
        <v>-1.8330422266701729</v>
      </c>
      <c r="K9" s="47">
        <f t="shared" si="5"/>
        <v>0.87667236927703995</v>
      </c>
      <c r="L9" s="47">
        <f t="shared" si="6"/>
        <v>0.87667236927703995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 x14ac:dyDescent="0.25">
      <c r="A10" s="54" t="str">
        <f>HYPERLINK("http://biomolecula.ru/content/1751","Всё, что вы всегда хотели знать о взрослом нейрогенезе, но боялись спросить")</f>
        <v>Всё, что вы всегда хотели знать о взрослом нейрогенезе, но боялись спросить</v>
      </c>
      <c r="B10" s="55" t="str">
        <f>HYPERLINK("http://biomolecula.ru/authors/4736","Ташкеев Александр")</f>
        <v>Ташкеев Александр</v>
      </c>
      <c r="C10" s="55"/>
      <c r="D10" s="48">
        <v>4</v>
      </c>
      <c r="E10" s="48">
        <v>4</v>
      </c>
      <c r="F10" s="48">
        <v>3</v>
      </c>
      <c r="G10" s="48">
        <v>4</v>
      </c>
      <c r="H10" s="47"/>
      <c r="I10" s="47">
        <f t="shared" si="3"/>
        <v>-0.47818492869656642</v>
      </c>
      <c r="J10" s="47">
        <f t="shared" si="4"/>
        <v>-0.47818492869656642</v>
      </c>
      <c r="K10" s="47">
        <f t="shared" si="5"/>
        <v>-1.8330422266701729</v>
      </c>
      <c r="L10" s="47">
        <f t="shared" si="6"/>
        <v>-0.47818492869656642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5.75" customHeight="1" x14ac:dyDescent="0.25">
      <c r="A11" s="54" t="str">
        <f>HYPERLINK("http://biomolecula.ru/content/1756","Синтетическая жизнь")</f>
        <v>Синтетическая жизнь</v>
      </c>
      <c r="B11" s="55" t="str">
        <f>HYPERLINK("http://biomolecula.ru/authors/4682","Султанов Даниэль")</f>
        <v>Султанов Даниэль</v>
      </c>
      <c r="C11" s="55"/>
      <c r="D11" s="48">
        <v>5</v>
      </c>
      <c r="E11" s="48">
        <v>5</v>
      </c>
      <c r="F11" s="48">
        <v>3</v>
      </c>
      <c r="G11" s="48">
        <v>5</v>
      </c>
      <c r="H11" s="47"/>
      <c r="I11" s="47">
        <f t="shared" si="3"/>
        <v>0.87667236927703995</v>
      </c>
      <c r="J11" s="47">
        <f t="shared" si="4"/>
        <v>0.87667236927703995</v>
      </c>
      <c r="K11" s="47">
        <f t="shared" si="5"/>
        <v>-1.8330422266701729</v>
      </c>
      <c r="L11" s="47">
        <f t="shared" si="6"/>
        <v>0.87667236927703995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 x14ac:dyDescent="0.25">
      <c r="A12" s="54" t="str">
        <f>HYPERLINK("http://biomolecula.ru/content/1762","«Зеленые» революционеры")</f>
        <v>«Зеленые» революционеры</v>
      </c>
      <c r="B12" s="55" t="str">
        <f>HYPERLINK("http://biomolecula.ru/authors/4735","Кузнецова Анна")</f>
        <v>Кузнецова Анна</v>
      </c>
      <c r="C12" s="55"/>
      <c r="D12" s="48">
        <v>3</v>
      </c>
      <c r="E12" s="48">
        <v>4</v>
      </c>
      <c r="F12" s="48">
        <v>4</v>
      </c>
      <c r="G12" s="48">
        <v>4</v>
      </c>
      <c r="H12" s="47"/>
      <c r="I12" s="47">
        <f t="shared" si="3"/>
        <v>-1.8330422266701729</v>
      </c>
      <c r="J12" s="47">
        <f t="shared" si="4"/>
        <v>-0.47818492869656642</v>
      </c>
      <c r="K12" s="47">
        <f t="shared" si="5"/>
        <v>-0.47818492869656642</v>
      </c>
      <c r="L12" s="47">
        <f t="shared" si="6"/>
        <v>-0.47818492869656642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 x14ac:dyDescent="0.25">
      <c r="A13" s="54" t="str">
        <f>HYPERLINK("http://biomolecula.ru/content/1771","Длина теломер и времена года")</f>
        <v>Длина теломер и времена года</v>
      </c>
      <c r="B13" s="55" t="str">
        <f>HYPERLINK("http://biomolecula.ru/authors/3877","Королева Анастасия")</f>
        <v>Королева Анастасия</v>
      </c>
      <c r="C13" s="55"/>
      <c r="D13" s="48">
        <v>3</v>
      </c>
      <c r="E13" s="48">
        <v>3</v>
      </c>
      <c r="F13" s="48">
        <v>4</v>
      </c>
      <c r="G13" s="48">
        <v>4</v>
      </c>
      <c r="H13" s="47"/>
      <c r="I13" s="47">
        <f t="shared" si="3"/>
        <v>-1.8330422266701729</v>
      </c>
      <c r="J13" s="47">
        <f t="shared" si="4"/>
        <v>-1.8330422266701729</v>
      </c>
      <c r="K13" s="47">
        <f t="shared" si="5"/>
        <v>-0.47818492869656642</v>
      </c>
      <c r="L13" s="47">
        <f t="shared" si="6"/>
        <v>-0.47818492869656642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.75" customHeight="1" x14ac:dyDescent="0.25">
      <c r="A14" s="54" t="str">
        <f>HYPERLINK("http://biomolecula.ru/content/1777","Эпигенетика: невидимый командир генома")</f>
        <v>Эпигенетика: невидимый командир генома</v>
      </c>
      <c r="B14" s="55" t="str">
        <f>HYPERLINK("http://biomolecula.ru/authors/4714","Ржешевский Алексей")</f>
        <v>Ржешевский Алексей</v>
      </c>
      <c r="C14" s="55"/>
      <c r="D14" s="48">
        <v>5</v>
      </c>
      <c r="E14" s="48">
        <v>4</v>
      </c>
      <c r="F14" s="48">
        <v>5</v>
      </c>
      <c r="G14" s="48">
        <v>5</v>
      </c>
      <c r="H14" s="47"/>
      <c r="I14" s="47">
        <f t="shared" si="3"/>
        <v>0.87667236927703995</v>
      </c>
      <c r="J14" s="47">
        <f t="shared" si="4"/>
        <v>-0.47818492869656642</v>
      </c>
      <c r="K14" s="47">
        <f t="shared" si="5"/>
        <v>0.87667236927703995</v>
      </c>
      <c r="L14" s="47">
        <f t="shared" si="6"/>
        <v>0.87667236927703995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 x14ac:dyDescent="0.25">
      <c r="A15" s="54" t="str">
        <f>HYPERLINK("http://biomolecula.ru/content/1778","Возвращение Цвета")</f>
        <v>Возвращение Цвета</v>
      </c>
      <c r="B15" s="55" t="str">
        <f>HYPERLINK("http://biomolecula.ru/authors/4791","Макарова Ольга")</f>
        <v>Макарова Ольга</v>
      </c>
      <c r="C15" s="55"/>
      <c r="D15" s="48">
        <v>3</v>
      </c>
      <c r="E15" s="48">
        <v>3</v>
      </c>
      <c r="F15" s="48">
        <v>5</v>
      </c>
      <c r="G15" s="48">
        <v>5</v>
      </c>
      <c r="H15" s="47"/>
      <c r="I15" s="47">
        <f t="shared" si="3"/>
        <v>-1.8330422266701729</v>
      </c>
      <c r="J15" s="47">
        <f t="shared" si="4"/>
        <v>-1.8330422266701729</v>
      </c>
      <c r="K15" s="47">
        <f t="shared" si="5"/>
        <v>0.87667236927703995</v>
      </c>
      <c r="L15" s="47">
        <f t="shared" si="6"/>
        <v>0.87667236927703995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 x14ac:dyDescent="0.25">
      <c r="A16" s="54" t="str">
        <f>HYPERLINK("http://biomolecula.ru/content/1784","От слов к делу: как ген, ответственный за речь, изменил судьбу нашего вида")</f>
        <v>От слов к делу: как ген, ответственный за речь, изменил судьбу нашего вида</v>
      </c>
      <c r="B16" s="55" t="str">
        <f>HYPERLINK("http://biomolecula.ru/authors/4277","Лебедев Виктор")</f>
        <v>Лебедев Виктор</v>
      </c>
      <c r="C16" s="47"/>
      <c r="D16" s="48">
        <v>4</v>
      </c>
      <c r="E16" s="48">
        <v>5</v>
      </c>
      <c r="F16" s="48">
        <v>5</v>
      </c>
      <c r="G16" s="48">
        <v>5</v>
      </c>
      <c r="H16" s="47"/>
      <c r="I16" s="47">
        <f t="shared" si="3"/>
        <v>-0.47818492869656642</v>
      </c>
      <c r="J16" s="47">
        <f t="shared" si="4"/>
        <v>0.87667236927703995</v>
      </c>
      <c r="K16" s="47">
        <f t="shared" si="5"/>
        <v>0.87667236927703995</v>
      </c>
      <c r="L16" s="47">
        <f t="shared" si="6"/>
        <v>0.87667236927703995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 x14ac:dyDescent="0.25">
      <c r="A17" s="54" t="str">
        <f>HYPERLINK("http://biomolecula.ru/content/1789","Цисгеномика: новое слово в селекции растений")</f>
        <v>Цисгеномика: новое слово в селекции растений</v>
      </c>
      <c r="B17" s="55" t="str">
        <f>HYPERLINK("http://biomolecula.ru/authors/4712","Слугина Мария")</f>
        <v>Слугина Мария</v>
      </c>
      <c r="C17" s="55"/>
      <c r="D17" s="48">
        <v>5</v>
      </c>
      <c r="E17" s="48">
        <v>5</v>
      </c>
      <c r="F17" s="48">
        <v>5</v>
      </c>
      <c r="G17" s="48">
        <v>5</v>
      </c>
      <c r="H17" s="47"/>
      <c r="I17" s="47">
        <f t="shared" si="3"/>
        <v>0.87667236927703995</v>
      </c>
      <c r="J17" s="47">
        <f t="shared" si="4"/>
        <v>0.87667236927703995</v>
      </c>
      <c r="K17" s="47">
        <f t="shared" si="5"/>
        <v>0.87667236927703995</v>
      </c>
      <c r="L17" s="47">
        <f t="shared" si="6"/>
        <v>0.87667236927703995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25">
      <c r="A18" s="54" t="str">
        <f>HYPERLINK("http://biomolecula.ru/content/1792","Нос и язык, которым нужны батарейки")</f>
        <v>Нос и язык, которым нужны батарейки</v>
      </c>
      <c r="B18" s="55" t="str">
        <f>HYPERLINK("http://biomolecula.ru/authors/4675","Кузык Валерия")</f>
        <v>Кузык Валерия</v>
      </c>
      <c r="C18" s="55"/>
      <c r="D18" s="48">
        <v>4</v>
      </c>
      <c r="E18" s="48">
        <v>5</v>
      </c>
      <c r="F18" s="48">
        <v>5</v>
      </c>
      <c r="G18" s="48">
        <v>5</v>
      </c>
      <c r="H18" s="47"/>
      <c r="I18" s="47">
        <f t="shared" si="3"/>
        <v>-0.47818492869656642</v>
      </c>
      <c r="J18" s="47">
        <f t="shared" si="4"/>
        <v>0.87667236927703995</v>
      </c>
      <c r="K18" s="47">
        <f t="shared" si="5"/>
        <v>0.87667236927703995</v>
      </c>
      <c r="L18" s="47">
        <f t="shared" si="6"/>
        <v>0.87667236927703995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 x14ac:dyDescent="0.25">
      <c r="A19" s="54" t="str">
        <f>HYPERLINK("http://biomolecula.ru/content/1814","Расширенный геном")</f>
        <v>Расширенный геном</v>
      </c>
      <c r="B19" s="55" t="str">
        <f>HYPERLINK("http://biomolecula.ru/authors/4828","Софронова Юлия")</f>
        <v>Софронова Юлия</v>
      </c>
      <c r="C19" s="55"/>
      <c r="D19" s="48">
        <v>5</v>
      </c>
      <c r="E19" s="48">
        <v>5</v>
      </c>
      <c r="F19" s="48">
        <v>3</v>
      </c>
      <c r="G19" s="48">
        <v>3</v>
      </c>
      <c r="H19" s="47"/>
      <c r="I19" s="47">
        <f t="shared" si="3"/>
        <v>0.87667236927703995</v>
      </c>
      <c r="J19" s="47">
        <f t="shared" si="4"/>
        <v>0.87667236927703995</v>
      </c>
      <c r="K19" s="47">
        <f t="shared" si="5"/>
        <v>-1.8330422266701729</v>
      </c>
      <c r="L19" s="47">
        <f t="shared" si="6"/>
        <v>-1.8330422266701729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5.75" customHeight="1" x14ac:dyDescent="0.25">
      <c r="A20" s="54" t="str">
        <f>HYPERLINK("http://biomolecula.ru/content/1793","Бактерии, молчать! Как и зачем вносить помехи в межклеточное общение")</f>
        <v>Бактерии, молчать! Как и зачем вносить помехи в межклеточное общение</v>
      </c>
      <c r="B20" s="55" t="str">
        <f>HYPERLINK("http://biomolecula.ru/authors/4794","Мартьянов Сергей")</f>
        <v>Мартьянов Сергей</v>
      </c>
      <c r="C20" s="55"/>
      <c r="D20" s="48">
        <v>4</v>
      </c>
      <c r="E20" s="48">
        <v>5</v>
      </c>
      <c r="F20" s="48">
        <v>5</v>
      </c>
      <c r="G20" s="48">
        <v>5</v>
      </c>
      <c r="H20" s="47"/>
      <c r="I20" s="47">
        <f t="shared" si="3"/>
        <v>-0.47818492869656642</v>
      </c>
      <c r="J20" s="47">
        <f t="shared" si="4"/>
        <v>0.87667236927703995</v>
      </c>
      <c r="K20" s="47">
        <f t="shared" si="5"/>
        <v>0.87667236927703995</v>
      </c>
      <c r="L20" s="47">
        <f t="shared" si="6"/>
        <v>0.87667236927703995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5.75" customHeight="1" x14ac:dyDescent="0.25">
      <c r="A21" s="54" t="str">
        <f>HYPERLINK("http://biomolecula.ru/content/1795","Помочь тем, кого нельзя обнять")</f>
        <v>Помочь тем, кого нельзя обнять</v>
      </c>
      <c r="B21" s="55" t="str">
        <f>HYPERLINK("http://biomolecula.ru/authors/4776","Челомбитько Мария")</f>
        <v>Челомбитько Мария</v>
      </c>
      <c r="C21" s="55"/>
      <c r="D21" s="48">
        <v>3</v>
      </c>
      <c r="E21" s="48">
        <v>4</v>
      </c>
      <c r="F21" s="48">
        <v>5</v>
      </c>
      <c r="G21" s="48">
        <v>5</v>
      </c>
      <c r="H21" s="47"/>
      <c r="I21" s="47">
        <f t="shared" si="3"/>
        <v>-1.8330422266701729</v>
      </c>
      <c r="J21" s="47">
        <f t="shared" si="4"/>
        <v>-0.47818492869656642</v>
      </c>
      <c r="K21" s="47">
        <f t="shared" si="5"/>
        <v>0.87667236927703995</v>
      </c>
      <c r="L21" s="47">
        <f t="shared" si="6"/>
        <v>0.87667236927703995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.75" customHeight="1" x14ac:dyDescent="0.25">
      <c r="A22" s="54" t="str">
        <f>HYPERLINK("http://biomolecula.ru/content/1798","Спят усталые игрушки: о регуляции сна и роли орексина в этом процессе")</f>
        <v>Спят усталые игрушки: о регуляции сна и роли орексина в этом процессе</v>
      </c>
      <c r="B22" s="55" t="str">
        <f>HYPERLINK("http://biomolecula.ru/authors/4755","Иванюк Алина")</f>
        <v>Иванюк Алина</v>
      </c>
      <c r="C22" s="55"/>
      <c r="D22" s="48">
        <v>4</v>
      </c>
      <c r="E22" s="48">
        <v>5</v>
      </c>
      <c r="F22" s="48">
        <v>3</v>
      </c>
      <c r="G22" s="48">
        <v>4</v>
      </c>
      <c r="H22" s="47"/>
      <c r="I22" s="47">
        <f t="shared" si="3"/>
        <v>-0.47818492869656642</v>
      </c>
      <c r="J22" s="47">
        <f t="shared" si="4"/>
        <v>0.87667236927703995</v>
      </c>
      <c r="K22" s="47">
        <f t="shared" si="5"/>
        <v>-1.8330422266701729</v>
      </c>
      <c r="L22" s="47">
        <f t="shared" si="6"/>
        <v>-0.47818492869656642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.75" customHeight="1" x14ac:dyDescent="0.25">
      <c r="A23" s="54" t="str">
        <f>HYPERLINK("http://biomolecula.ru/content/1821","Не хотим никотин, или кратко и ёмко о курении")</f>
        <v>Не хотим никотин, или кратко и ёмко о курении</v>
      </c>
      <c r="B23" s="55" t="str">
        <f>HYPERLINK("http://biomolecula.ru/authors/3833","Галкин Федор")</f>
        <v>Галкин Федор</v>
      </c>
      <c r="C23" s="55"/>
      <c r="D23" s="48">
        <v>5</v>
      </c>
      <c r="E23" s="48">
        <v>5</v>
      </c>
      <c r="F23" s="48">
        <v>5</v>
      </c>
      <c r="G23" s="48">
        <v>5</v>
      </c>
      <c r="H23" s="47"/>
      <c r="I23" s="47">
        <f t="shared" si="3"/>
        <v>0.87667236927703995</v>
      </c>
      <c r="J23" s="47">
        <f t="shared" si="4"/>
        <v>0.87667236927703995</v>
      </c>
      <c r="K23" s="47">
        <f t="shared" si="5"/>
        <v>0.87667236927703995</v>
      </c>
      <c r="L23" s="47">
        <f t="shared" si="6"/>
        <v>0.87667236927703995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5.75" customHeight="1" x14ac:dyDescent="0.25">
      <c r="A24" s="54" t="str">
        <f>HYPERLINK("http://biomolecula.ru/content/1822","От поцелуя до лимфомы один вирус")</f>
        <v>От поцелуя до лимфомы один вирус</v>
      </c>
      <c r="B24" s="55" t="str">
        <f>HYPERLINK("http://biomolecula.ru/authors/4812","Шкаликова Мария")</f>
        <v>Шкаликова Мария</v>
      </c>
      <c r="C24" s="55"/>
      <c r="D24" s="48">
        <v>3</v>
      </c>
      <c r="E24" s="48">
        <v>4</v>
      </c>
      <c r="F24" s="48">
        <v>4</v>
      </c>
      <c r="G24" s="48">
        <v>4</v>
      </c>
      <c r="H24" s="47"/>
      <c r="I24" s="47">
        <f t="shared" si="3"/>
        <v>-1.8330422266701729</v>
      </c>
      <c r="J24" s="47">
        <f t="shared" si="4"/>
        <v>-0.47818492869656642</v>
      </c>
      <c r="K24" s="47">
        <f t="shared" si="5"/>
        <v>-0.47818492869656642</v>
      </c>
      <c r="L24" s="47">
        <f t="shared" si="6"/>
        <v>-0.47818492869656642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5.75" customHeight="1" x14ac:dyDescent="0.25">
      <c r="A25" s="54" t="str">
        <f>HYPERLINK("http://biomolecula.ru/content/1823","Кто рубит коллагеновый лес")</f>
        <v>Кто рубит коллагеновый лес</v>
      </c>
      <c r="B25" s="55" t="str">
        <f>HYPERLINK("http://biomolecula.ru/authors/4789","Халиуллин Марсель")</f>
        <v>Халиуллин Марсель</v>
      </c>
      <c r="C25" s="55"/>
      <c r="D25" s="48">
        <v>3</v>
      </c>
      <c r="E25" s="48">
        <v>4</v>
      </c>
      <c r="F25" s="48">
        <v>4</v>
      </c>
      <c r="G25" s="48">
        <v>4</v>
      </c>
      <c r="H25" s="47"/>
      <c r="I25" s="47">
        <f t="shared" si="3"/>
        <v>-1.8330422266701729</v>
      </c>
      <c r="J25" s="47">
        <f t="shared" si="4"/>
        <v>-0.47818492869656642</v>
      </c>
      <c r="K25" s="47">
        <f t="shared" si="5"/>
        <v>-0.47818492869656642</v>
      </c>
      <c r="L25" s="47">
        <f t="shared" si="6"/>
        <v>-0.47818492869656642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5.75" customHeight="1" x14ac:dyDescent="0.25">
      <c r="A26" s="54" t="str">
        <f>HYPERLINK("http://biomolecula.ru/content/1801","Примитив не приговор, или Physarum polycephalum разумный")</f>
        <v>Примитив не приговор, или Physarum polycephalum разумный</v>
      </c>
      <c r="B26" s="55" t="str">
        <f>HYPERLINK("http://biomolecula.ru/authors/4817","Авсиевич Татьяна")</f>
        <v>Авсиевич Татьяна</v>
      </c>
      <c r="C26" s="55"/>
      <c r="D26" s="48">
        <v>4</v>
      </c>
      <c r="E26" s="48">
        <v>5</v>
      </c>
      <c r="F26" s="48">
        <v>5</v>
      </c>
      <c r="G26" s="48">
        <v>5</v>
      </c>
      <c r="H26" s="47"/>
      <c r="I26" s="47">
        <f t="shared" si="3"/>
        <v>-0.47818492869656642</v>
      </c>
      <c r="J26" s="47">
        <f t="shared" si="4"/>
        <v>0.87667236927703995</v>
      </c>
      <c r="K26" s="47">
        <f t="shared" si="5"/>
        <v>0.87667236927703995</v>
      </c>
      <c r="L26" s="47">
        <f t="shared" si="6"/>
        <v>0.87667236927703995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 x14ac:dyDescent="0.25">
      <c r="A27" s="54" t="str">
        <f>HYPERLINK("http://biomolecula.ru/content/1827","Наши предки, ваши предки тоже были... протоклетки!")</f>
        <v>Наши предки, ваши предки тоже были... протоклетки!</v>
      </c>
      <c r="B27" s="55" t="str">
        <f>HYPERLINK("http://biomolecula.ru/authors/4822","Градова Маргарита")</f>
        <v>Градова Маргарита</v>
      </c>
      <c r="C27" s="55"/>
      <c r="D27" s="48">
        <v>5</v>
      </c>
      <c r="E27" s="48">
        <v>5</v>
      </c>
      <c r="F27" s="48">
        <v>4</v>
      </c>
      <c r="G27" s="48">
        <v>5</v>
      </c>
      <c r="H27" s="47"/>
      <c r="I27" s="47">
        <f t="shared" si="3"/>
        <v>0.87667236927703995</v>
      </c>
      <c r="J27" s="47">
        <f t="shared" si="4"/>
        <v>0.87667236927703995</v>
      </c>
      <c r="K27" s="47">
        <f t="shared" si="5"/>
        <v>-0.47818492869656642</v>
      </c>
      <c r="L27" s="47">
        <f t="shared" si="6"/>
        <v>0.87667236927703995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5.75" customHeight="1" x14ac:dyDescent="0.25">
      <c r="A28" s="54" t="str">
        <f>HYPERLINK("http://biomolecula.ru/content/1804","Загадка феномена дежавю")</f>
        <v>Загадка феномена дежавю</v>
      </c>
      <c r="B28" s="55" t="str">
        <f>HYPERLINK("http://biomolecula.ru/authors/4809","Киреева Альбина")</f>
        <v>Киреева Альбина</v>
      </c>
      <c r="C28" s="55"/>
      <c r="D28" s="48">
        <v>4</v>
      </c>
      <c r="E28" s="48">
        <v>5</v>
      </c>
      <c r="F28" s="48">
        <v>5</v>
      </c>
      <c r="G28" s="48">
        <v>5</v>
      </c>
      <c r="H28" s="47"/>
      <c r="I28" s="47">
        <f t="shared" si="3"/>
        <v>-0.47818492869656642</v>
      </c>
      <c r="J28" s="47">
        <f t="shared" si="4"/>
        <v>0.87667236927703995</v>
      </c>
      <c r="K28" s="47">
        <f t="shared" si="5"/>
        <v>0.87667236927703995</v>
      </c>
      <c r="L28" s="47">
        <f t="shared" si="6"/>
        <v>0.87667236927703995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25">
      <c r="A29" s="56" t="str">
        <f>HYPERLINK("http://biomolecula.ru/content/1808","О том, кто «поедает наши вкусняшки»")</f>
        <v>О том, кто «поедает наши вкусняшки»</v>
      </c>
      <c r="B29" s="55" t="str">
        <f>HYPERLINK("http://biomolecula.ru/authors/4732","Пименова Наталия")</f>
        <v>Пименова Наталия</v>
      </c>
      <c r="C29" s="55"/>
      <c r="D29" s="48">
        <v>5</v>
      </c>
      <c r="E29" s="48">
        <v>4</v>
      </c>
      <c r="F29" s="48">
        <v>5</v>
      </c>
      <c r="G29" s="48">
        <v>5</v>
      </c>
      <c r="H29" s="47"/>
      <c r="I29" s="47">
        <f t="shared" si="3"/>
        <v>0.87667236927703995</v>
      </c>
      <c r="J29" s="47">
        <f t="shared" si="4"/>
        <v>-0.47818492869656642</v>
      </c>
      <c r="K29" s="47">
        <f t="shared" si="5"/>
        <v>0.87667236927703995</v>
      </c>
      <c r="L29" s="47">
        <f t="shared" si="6"/>
        <v>0.87667236927703995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 x14ac:dyDescent="0.25">
      <c r="A30" s="56" t="str">
        <f>HYPERLINK("http://biomolecula.ru/content/1835","Могут ли клетки работать под давлением?")</f>
        <v>Могут ли клетки работать под давлением?</v>
      </c>
      <c r="B30" s="55" t="str">
        <f>HYPERLINK("http://biomolecula.ru/authors/4775","Усик Мария")</f>
        <v>Усик Мария</v>
      </c>
      <c r="C30" s="24">
        <v>42345</v>
      </c>
      <c r="D30" s="48">
        <v>4</v>
      </c>
      <c r="E30" s="48">
        <v>5</v>
      </c>
      <c r="F30" s="48">
        <v>3</v>
      </c>
      <c r="G30" s="48">
        <v>4</v>
      </c>
      <c r="H30" s="47"/>
      <c r="I30" s="47">
        <f t="shared" si="3"/>
        <v>-0.47818492869656642</v>
      </c>
      <c r="J30" s="47">
        <f t="shared" si="4"/>
        <v>0.87667236927703995</v>
      </c>
      <c r="K30" s="47">
        <f t="shared" si="5"/>
        <v>-1.8330422266701729</v>
      </c>
      <c r="L30" s="47">
        <f t="shared" si="6"/>
        <v>-0.47818492869656642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 x14ac:dyDescent="0.25">
      <c r="A31" s="56" t="str">
        <f>HYPERLINK("http://biomolecula.ru/content/1839","50 оттенков ДНК: генная инженерия пениса")</f>
        <v>50 оттенков ДНК: генная инженерия пениса</v>
      </c>
      <c r="B31" s="55" t="str">
        <f>HYPERLINK("http://biomolecula.ru/authors/4339","Панчин Александр")</f>
        <v>Панчин Александр</v>
      </c>
      <c r="C31" s="24">
        <v>42340</v>
      </c>
      <c r="D31" s="48">
        <v>5</v>
      </c>
      <c r="E31" s="48">
        <v>5</v>
      </c>
      <c r="F31" s="48">
        <v>5</v>
      </c>
      <c r="G31" s="48">
        <v>5</v>
      </c>
      <c r="H31" s="47"/>
      <c r="I31" s="47">
        <f t="shared" si="3"/>
        <v>0.87667236927703995</v>
      </c>
      <c r="J31" s="47">
        <f t="shared" si="4"/>
        <v>0.87667236927703995</v>
      </c>
      <c r="K31" s="47">
        <f t="shared" si="5"/>
        <v>0.87667236927703995</v>
      </c>
      <c r="L31" s="47">
        <f t="shared" si="6"/>
        <v>0.87667236927703995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 x14ac:dyDescent="0.25">
      <c r="A32" s="56" t="str">
        <f>HYPERLINK("http://biomolecula.ru/content/1844","Спектроскопия КР: новые возможности старого метода")</f>
        <v>Спектроскопия КР: новые возможности старого метода</v>
      </c>
      <c r="B32" s="55" t="str">
        <f>HYPERLINK("http://biomolecula.ru/authors/4348","Никельшпарг Эвелина")</f>
        <v>Никельшпарг Эвелина</v>
      </c>
      <c r="C32" s="24">
        <v>42343</v>
      </c>
      <c r="D32" s="48">
        <v>4</v>
      </c>
      <c r="E32" s="48">
        <v>5</v>
      </c>
      <c r="F32" s="48">
        <v>3</v>
      </c>
      <c r="G32" s="48">
        <v>4</v>
      </c>
      <c r="H32" s="47"/>
      <c r="I32" s="47">
        <f t="shared" si="3"/>
        <v>-0.47818492869656642</v>
      </c>
      <c r="J32" s="47">
        <f t="shared" si="4"/>
        <v>0.87667236927703995</v>
      </c>
      <c r="K32" s="47">
        <f t="shared" si="5"/>
        <v>-1.8330422266701729</v>
      </c>
      <c r="L32" s="47">
        <f t="shared" si="6"/>
        <v>-0.47818492869656642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 x14ac:dyDescent="0.25">
      <c r="A33" s="56" t="str">
        <f>HYPERLINK("http://biomolecula.ru/content/1846","Смерть после жизни, болезнь Альцгеймера и почему мы хотим перемен")</f>
        <v>Смерть после жизни, болезнь Альцгеймера и почему мы хотим перемен</v>
      </c>
      <c r="B33" s="55" t="str">
        <f>HYPERLINK("http://biomolecula.ru/authors/4820","Козлов Станислав")</f>
        <v>Козлов Станислав</v>
      </c>
      <c r="C33" s="24">
        <v>42350</v>
      </c>
      <c r="D33" s="48">
        <v>5</v>
      </c>
      <c r="E33" s="48">
        <v>5</v>
      </c>
      <c r="F33" s="48">
        <v>3</v>
      </c>
      <c r="G33" s="48">
        <v>5</v>
      </c>
      <c r="H33" s="47"/>
      <c r="I33" s="47">
        <f t="shared" si="3"/>
        <v>0.87667236927703995</v>
      </c>
      <c r="J33" s="47">
        <f t="shared" si="4"/>
        <v>0.87667236927703995</v>
      </c>
      <c r="K33" s="47">
        <f t="shared" si="5"/>
        <v>-1.8330422266701729</v>
      </c>
      <c r="L33" s="47">
        <f t="shared" si="6"/>
        <v>0.87667236927703995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 x14ac:dyDescent="0.25">
      <c r="A34" s="56" t="str">
        <f>HYPERLINK("http://biomolecula.ru/content/1845","Персонализированная и постгеномная медицина")</f>
        <v>Персонализированная и постгеномная медицина</v>
      </c>
      <c r="B34" s="55" t="str">
        <f>HYPERLINK("http://biomolecula.ru/authors/4858","Баранова Анча")</f>
        <v>Баранова Анча</v>
      </c>
      <c r="C34" s="24">
        <v>42351</v>
      </c>
      <c r="D34" s="48">
        <v>5</v>
      </c>
      <c r="E34" s="48">
        <v>4</v>
      </c>
      <c r="F34" s="48">
        <v>5</v>
      </c>
      <c r="G34" s="48">
        <v>5</v>
      </c>
      <c r="H34" s="47"/>
      <c r="I34" s="47">
        <f t="shared" si="3"/>
        <v>0.87667236927703995</v>
      </c>
      <c r="J34" s="47">
        <f t="shared" si="4"/>
        <v>-0.47818492869656642</v>
      </c>
      <c r="K34" s="47">
        <f t="shared" si="5"/>
        <v>0.87667236927703995</v>
      </c>
      <c r="L34" s="47">
        <f t="shared" si="6"/>
        <v>0.87667236927703995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 x14ac:dyDescent="0.25">
      <c r="A35" s="49"/>
      <c r="B35" s="57"/>
      <c r="C35" s="5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25">
      <c r="A36" s="46" t="s">
        <v>1</v>
      </c>
      <c r="B36" s="57"/>
      <c r="C36" s="5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5">
      <c r="A37" s="54" t="str">
        <f>HYPERLINK("http://biomolecula.ru/content/1719","Обнаружены управляемые светом анионные каналы")</f>
        <v>Обнаружены управляемые светом анионные каналы</v>
      </c>
      <c r="B37" s="55" t="str">
        <f>HYPERLINK("http://biomolecula.ru/authors/3680","Боголюбова Аполлинария")</f>
        <v>Боголюбова Аполлинария</v>
      </c>
      <c r="C37" s="55"/>
      <c r="D37" s="48">
        <v>5</v>
      </c>
      <c r="E37" s="48">
        <v>5</v>
      </c>
      <c r="F37" s="48">
        <v>4</v>
      </c>
      <c r="G37" s="48">
        <v>4</v>
      </c>
      <c r="H37" s="47"/>
      <c r="I37" s="47">
        <f t="shared" si="3"/>
        <v>0.87667236927703995</v>
      </c>
      <c r="J37" s="47">
        <f t="shared" si="4"/>
        <v>0.87667236927703995</v>
      </c>
      <c r="K37" s="47">
        <f t="shared" si="5"/>
        <v>-0.47818492869656642</v>
      </c>
      <c r="L37" s="47">
        <f t="shared" si="6"/>
        <v>-0.47818492869656642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 x14ac:dyDescent="0.25">
      <c r="A38" s="54" t="str">
        <f>HYPERLINK("http://biomolecula.ru/content/1725","Шестое ДНК-основание: от открытия до признания")</f>
        <v>Шестое ДНК-основание: от открытия до признания</v>
      </c>
      <c r="B38" s="55" t="str">
        <f>HYPERLINK("http://biomolecula.ru/authors/4652","Соколова Екатерина")</f>
        <v>Соколова Екатерина</v>
      </c>
      <c r="C38" s="55"/>
      <c r="D38" s="48">
        <v>5</v>
      </c>
      <c r="E38" s="48">
        <v>5</v>
      </c>
      <c r="F38" s="48">
        <v>5</v>
      </c>
      <c r="G38" s="48">
        <v>5</v>
      </c>
      <c r="H38" s="47"/>
      <c r="I38" s="47">
        <f t="shared" si="3"/>
        <v>0.87667236927703995</v>
      </c>
      <c r="J38" s="47">
        <f t="shared" si="4"/>
        <v>0.87667236927703995</v>
      </c>
      <c r="K38" s="47">
        <f t="shared" si="5"/>
        <v>0.87667236927703995</v>
      </c>
      <c r="L38" s="47">
        <f t="shared" si="6"/>
        <v>0.87667236927703995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25">
      <c r="A39" s="54" t="str">
        <f>HYPERLINK("http://biomolecula.ru/content/1732","Археи «хамят» и помогают")</f>
        <v>Археи «хамят» и помогают</v>
      </c>
      <c r="B39" s="55" t="str">
        <f>HYPERLINK("http://biomolecula.ru/authors/4602","Конышев Илья")</f>
        <v>Конышев Илья</v>
      </c>
      <c r="C39" s="55"/>
      <c r="D39" s="48">
        <v>4</v>
      </c>
      <c r="E39" s="48">
        <v>5</v>
      </c>
      <c r="F39" s="48">
        <v>5</v>
      </c>
      <c r="G39" s="48">
        <v>5</v>
      </c>
      <c r="H39" s="47"/>
      <c r="I39" s="47">
        <f t="shared" si="3"/>
        <v>-0.47818492869656642</v>
      </c>
      <c r="J39" s="47">
        <f t="shared" si="4"/>
        <v>0.87667236927703995</v>
      </c>
      <c r="K39" s="47">
        <f t="shared" si="5"/>
        <v>0.87667236927703995</v>
      </c>
      <c r="L39" s="47">
        <f t="shared" si="6"/>
        <v>0.87667236927703995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31.5" customHeight="1" x14ac:dyDescent="0.25">
      <c r="A40" s="54" t="str">
        <f>HYPERLINK("http://biomolecula.ru/content/1770","Родословная нейронов: как носить в себе множество мутаций и выглядеть совершенно здоровым")</f>
        <v>Родословная нейронов: как носить в себе множество мутаций и выглядеть совершенно здоровым</v>
      </c>
      <c r="B40" s="55" t="str">
        <f>HYPERLINK("http://biomolecula.ru/authors/4518","Гобова Анна")</f>
        <v>Гобова Анна</v>
      </c>
      <c r="C40" s="55"/>
      <c r="D40" s="48">
        <v>4</v>
      </c>
      <c r="E40" s="48">
        <v>4</v>
      </c>
      <c r="F40" s="48">
        <v>5</v>
      </c>
      <c r="G40" s="48">
        <v>4</v>
      </c>
      <c r="H40" s="47"/>
      <c r="I40" s="47">
        <f t="shared" si="3"/>
        <v>-0.47818492869656642</v>
      </c>
      <c r="J40" s="47">
        <f t="shared" si="4"/>
        <v>-0.47818492869656642</v>
      </c>
      <c r="K40" s="47">
        <f t="shared" si="5"/>
        <v>0.87667236927703995</v>
      </c>
      <c r="L40" s="47">
        <f t="shared" si="6"/>
        <v>-0.47818492869656642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25">
      <c r="A41" s="54" t="str">
        <f>HYPERLINK("http://biomolecula.ru/content/1791","Не будь водорослью! Синтезируй ауксин эффективно!")</f>
        <v>Не будь водорослью! Синтезируй ауксин эффективно!</v>
      </c>
      <c r="B41" s="55" t="str">
        <f>HYPERLINK("http://biomolecula.ru/authors/4798","Дмитриева Надежда")</f>
        <v>Дмитриева Надежда</v>
      </c>
      <c r="C41" s="55"/>
      <c r="D41" s="48">
        <v>3</v>
      </c>
      <c r="E41" s="48">
        <v>4</v>
      </c>
      <c r="F41" s="48">
        <v>4</v>
      </c>
      <c r="G41" s="48">
        <v>3</v>
      </c>
      <c r="H41" s="47"/>
      <c r="I41" s="47">
        <f t="shared" si="3"/>
        <v>-1.8330422266701729</v>
      </c>
      <c r="J41" s="47">
        <f t="shared" si="4"/>
        <v>-0.47818492869656642</v>
      </c>
      <c r="K41" s="47">
        <f t="shared" si="5"/>
        <v>-0.47818492869656642</v>
      </c>
      <c r="L41" s="47">
        <f t="shared" si="6"/>
        <v>-1.8330422266701729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 x14ac:dyDescent="0.25">
      <c r="A42" s="54" t="str">
        <f>HYPERLINK("http://biomolecula.ru/content/1796","Плохая Karma портит масличные пальмы")</f>
        <v>Плохая Karma портит масличные пальмы</v>
      </c>
      <c r="B42" s="55" t="str">
        <f>HYPERLINK("http://biomolecula.ru/authors/3718","Елизарьев Павел")</f>
        <v>Елизарьев Павел</v>
      </c>
      <c r="C42" s="55"/>
      <c r="D42" s="48">
        <v>4</v>
      </c>
      <c r="E42" s="48">
        <v>5</v>
      </c>
      <c r="F42" s="48">
        <v>4</v>
      </c>
      <c r="G42" s="48">
        <v>4</v>
      </c>
      <c r="H42" s="47"/>
      <c r="I42" s="47">
        <f t="shared" si="3"/>
        <v>-0.47818492869656642</v>
      </c>
      <c r="J42" s="47">
        <f t="shared" si="4"/>
        <v>0.87667236927703995</v>
      </c>
      <c r="K42" s="47">
        <f t="shared" si="5"/>
        <v>-0.47818492869656642</v>
      </c>
      <c r="L42" s="47">
        <f t="shared" si="6"/>
        <v>-0.47818492869656642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25">
      <c r="A43" s="54" t="str">
        <f>HYPERLINK("http://biomolecula.ru/content/1818","Новый метод CETCh-seq может за одну метку поймать много результатов")</f>
        <v>Новый метод CETCh-seq может за одну метку поймать много результатов</v>
      </c>
      <c r="B43" s="55" t="str">
        <f>HYPERLINK("http://biomolecula.ru/authors/4802","Федорова Татьяна")</f>
        <v>Федорова Татьяна</v>
      </c>
      <c r="C43" s="55"/>
      <c r="D43" s="48">
        <v>5</v>
      </c>
      <c r="E43" s="48">
        <v>5</v>
      </c>
      <c r="F43" s="48">
        <v>3</v>
      </c>
      <c r="G43" s="48">
        <v>4</v>
      </c>
      <c r="H43" s="47"/>
      <c r="I43" s="47">
        <f t="shared" si="3"/>
        <v>0.87667236927703995</v>
      </c>
      <c r="J43" s="47">
        <f t="shared" si="4"/>
        <v>0.87667236927703995</v>
      </c>
      <c r="K43" s="47">
        <f t="shared" si="5"/>
        <v>-1.8330422266701729</v>
      </c>
      <c r="L43" s="47">
        <f t="shared" si="6"/>
        <v>-0.47818492869656642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 x14ac:dyDescent="0.25">
      <c r="A44" s="54" t="str">
        <f>HYPERLINK("http://biomolecula.ru/content/1802","Черная смерть. История о том, как безобидная бактерия стала беспощадной убийцей")</f>
        <v>Черная смерть. История о том, как безобидная бактерия стала беспощадной убийцей</v>
      </c>
      <c r="B44" s="55" t="str">
        <f>HYPERLINK("http://biomolecula.ru/authors/4762","Казакова Дарья")</f>
        <v>Казакова Дарья</v>
      </c>
      <c r="C44" s="55"/>
      <c r="D44" s="48">
        <v>5</v>
      </c>
      <c r="E44" s="48">
        <v>5</v>
      </c>
      <c r="F44" s="48">
        <v>5</v>
      </c>
      <c r="G44" s="48">
        <v>5</v>
      </c>
      <c r="H44" s="47"/>
      <c r="I44" s="47">
        <f t="shared" si="3"/>
        <v>0.87667236927703995</v>
      </c>
      <c r="J44" s="47">
        <f t="shared" si="4"/>
        <v>0.87667236927703995</v>
      </c>
      <c r="K44" s="47">
        <f t="shared" si="5"/>
        <v>0.87667236927703995</v>
      </c>
      <c r="L44" s="47">
        <f t="shared" si="6"/>
        <v>0.87667236927703995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25">
      <c r="A45" s="54" t="str">
        <f>HYPERLINK("http://biomolecula.ru/content/1803","Осьминожий геном")</f>
        <v>Осьминожий геном</v>
      </c>
      <c r="B45" s="55" t="str">
        <f>HYPERLINK("http://biomolecula.ru/authors/4354","Бредихин Данила")</f>
        <v>Бредихин Данила</v>
      </c>
      <c r="C45" s="55"/>
      <c r="D45" s="48">
        <v>3</v>
      </c>
      <c r="E45" s="48">
        <v>4</v>
      </c>
      <c r="F45" s="48">
        <v>4</v>
      </c>
      <c r="G45" s="48">
        <v>3</v>
      </c>
      <c r="H45" s="47"/>
      <c r="I45" s="47">
        <f t="shared" si="3"/>
        <v>-1.8330422266701729</v>
      </c>
      <c r="J45" s="47">
        <f t="shared" si="4"/>
        <v>-0.47818492869656642</v>
      </c>
      <c r="K45" s="47">
        <f t="shared" si="5"/>
        <v>-0.47818492869656642</v>
      </c>
      <c r="L45" s="47">
        <f t="shared" si="6"/>
        <v>-1.8330422266701729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5">
      <c r="A46" s="56" t="str">
        <f>HYPERLINK("http://biomolecula.ru/content/1809","Слизистый след раковых заболеваний")</f>
        <v>Слизистый след раковых заболеваний</v>
      </c>
      <c r="B46" s="55" t="str">
        <f>HYPERLINK("http://biomolecula.ru/authors/4840","Савочкина Лиза")</f>
        <v>Савочкина Лиза</v>
      </c>
      <c r="C46" s="24">
        <v>42340</v>
      </c>
      <c r="D46" s="48">
        <v>4</v>
      </c>
      <c r="E46" s="48">
        <v>5</v>
      </c>
      <c r="F46" s="48">
        <v>3</v>
      </c>
      <c r="G46" s="48">
        <v>4</v>
      </c>
      <c r="H46" s="47"/>
      <c r="I46" s="47">
        <f t="shared" si="3"/>
        <v>-0.47818492869656642</v>
      </c>
      <c r="J46" s="47">
        <f t="shared" si="4"/>
        <v>0.87667236927703995</v>
      </c>
      <c r="K46" s="47">
        <f t="shared" si="5"/>
        <v>-1.8330422266701729</v>
      </c>
      <c r="L46" s="47">
        <f t="shared" si="6"/>
        <v>-0.47818492869656642</v>
      </c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5">
      <c r="A47" s="56"/>
      <c r="B47" s="5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25">
      <c r="A48" s="46" t="s">
        <v>2</v>
      </c>
      <c r="B48" s="57"/>
      <c r="C48" s="5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25">
      <c r="A49" s="54" t="str">
        <f>HYPERLINK("http://biomolecula.ru/content/1755","В поисках клеток для ИПСК — шаг за шагом к медицине будущего")</f>
        <v>В поисках клеток для ИПСК — шаг за шагом к медицине будущего</v>
      </c>
      <c r="B49" s="55" t="str">
        <f>HYPERLINK("http://biomolecula.ru/authors/4699","Алексеева Евгения")</f>
        <v>Алексеева Евгения</v>
      </c>
      <c r="C49" s="55"/>
      <c r="D49" s="48">
        <v>5</v>
      </c>
      <c r="E49" s="48">
        <v>5</v>
      </c>
      <c r="F49" s="48">
        <v>4</v>
      </c>
      <c r="G49" s="48">
        <v>4</v>
      </c>
      <c r="H49" s="47"/>
      <c r="I49" s="47">
        <f t="shared" si="3"/>
        <v>0.87667236927703995</v>
      </c>
      <c r="J49" s="47">
        <f t="shared" si="4"/>
        <v>0.87667236927703995</v>
      </c>
      <c r="K49" s="47">
        <f t="shared" si="5"/>
        <v>-0.47818492869656642</v>
      </c>
      <c r="L49" s="47">
        <f t="shared" si="6"/>
        <v>-0.47818492869656642</v>
      </c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25">
      <c r="A50" s="54" t="str">
        <f>HYPERLINK("http://biomolecula.ru/content/1785","Технология использования паутины в медицине")</f>
        <v>Технология использования паутины в медицине</v>
      </c>
      <c r="B50" s="55" t="str">
        <f>HYPERLINK("http://biomolecula.ru/authors/2833","Шевнин Юрий")</f>
        <v>Шевнин Юрий</v>
      </c>
      <c r="C50" s="55"/>
      <c r="D50" s="48">
        <v>3</v>
      </c>
      <c r="E50" s="48">
        <v>3</v>
      </c>
      <c r="F50" s="48">
        <v>5</v>
      </c>
      <c r="G50" s="48">
        <v>5</v>
      </c>
      <c r="H50" s="47"/>
      <c r="I50" s="47">
        <f t="shared" si="3"/>
        <v>-1.8330422266701729</v>
      </c>
      <c r="J50" s="47">
        <f t="shared" si="4"/>
        <v>-1.8330422266701729</v>
      </c>
      <c r="K50" s="47">
        <f t="shared" si="5"/>
        <v>0.87667236927703995</v>
      </c>
      <c r="L50" s="47">
        <f t="shared" si="6"/>
        <v>0.87667236927703995</v>
      </c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 x14ac:dyDescent="0.25">
      <c r="A51" s="54" t="str">
        <f>HYPERLINK("http://biomolecula.ru/content/1819","Наномеханика для адресной доставки лекарств – насколько это реально?")</f>
        <v>Наномеханика для адресной доставки лекарств – насколько это реально?</v>
      </c>
      <c r="B51" s="55" t="str">
        <f>HYPERLINK("http://biomolecula.ru/authors/4657","Ефремова Мария")</f>
        <v>Ефремова Мария</v>
      </c>
      <c r="C51" s="55"/>
      <c r="D51" s="48">
        <v>5</v>
      </c>
      <c r="E51" s="48">
        <v>5</v>
      </c>
      <c r="F51" s="48">
        <v>5</v>
      </c>
      <c r="G51" s="48">
        <v>5</v>
      </c>
      <c r="H51" s="47"/>
      <c r="I51" s="47">
        <f t="shared" si="3"/>
        <v>0.87667236927703995</v>
      </c>
      <c r="J51" s="47">
        <f t="shared" si="4"/>
        <v>0.87667236927703995</v>
      </c>
      <c r="K51" s="47">
        <f t="shared" si="5"/>
        <v>0.87667236927703995</v>
      </c>
      <c r="L51" s="47">
        <f t="shared" si="6"/>
        <v>0.87667236927703995</v>
      </c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 x14ac:dyDescent="0.25">
      <c r="A52" s="54" t="str">
        <f>HYPERLINK("http://biomolecula.ru/content/1799","Лечебные препараты из живых микроорганизмов")</f>
        <v>Лечебные препараты из живых микроорганизмов</v>
      </c>
      <c r="B52" s="55" t="str">
        <f>HYPERLINK("http://biomolecula.ru/authors/4790","Крушинская Татьяна")</f>
        <v>Крушинская Татьяна</v>
      </c>
      <c r="C52" s="55"/>
      <c r="D52" s="48">
        <v>3</v>
      </c>
      <c r="E52" s="48">
        <v>3</v>
      </c>
      <c r="F52" s="48">
        <v>4</v>
      </c>
      <c r="G52" s="48">
        <v>4</v>
      </c>
      <c r="H52" s="47"/>
      <c r="I52" s="47">
        <f t="shared" si="3"/>
        <v>-1.8330422266701729</v>
      </c>
      <c r="J52" s="47">
        <f t="shared" si="4"/>
        <v>-1.8330422266701729</v>
      </c>
      <c r="K52" s="47">
        <f t="shared" si="5"/>
        <v>-0.47818492869656642</v>
      </c>
      <c r="L52" s="47">
        <f t="shared" si="6"/>
        <v>-0.47818492869656642</v>
      </c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31.5" customHeight="1" x14ac:dyDescent="0.25">
      <c r="A53" s="54" t="str">
        <f>HYPERLINK("http://biomolecula.ru/content/1825","Прионные и неприонные амилоиды: определяет ли конформация разницу в инфекционности?")</f>
        <v>Прионные и неприонные амилоиды: определяет ли конформация разницу в инфекционности?</v>
      </c>
      <c r="B53" s="55" t="str">
        <f>HYPERLINK("http://biomolecula.ru/authors/4846","Дергалев Александр")</f>
        <v>Дергалев Александр</v>
      </c>
      <c r="C53" s="55"/>
      <c r="D53" s="48">
        <v>5</v>
      </c>
      <c r="E53" s="48">
        <v>5</v>
      </c>
      <c r="F53" s="48">
        <v>4</v>
      </c>
      <c r="G53" s="48">
        <v>4</v>
      </c>
      <c r="H53" s="47"/>
      <c r="I53" s="47">
        <f t="shared" si="3"/>
        <v>0.87667236927703995</v>
      </c>
      <c r="J53" s="47">
        <f t="shared" si="4"/>
        <v>0.87667236927703995</v>
      </c>
      <c r="K53" s="47">
        <f t="shared" si="5"/>
        <v>-0.47818492869656642</v>
      </c>
      <c r="L53" s="47">
        <f t="shared" si="6"/>
        <v>-0.47818492869656642</v>
      </c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31.5" customHeight="1" x14ac:dyDescent="0.25">
      <c r="A54" s="54" t="str">
        <f>HYPERLINK("http://biomolecula.ru/content/1826","Прикладная биотехнология и молекулярная микробиология. Практическое руководство для студентов, или как запатентовать биопрепарат")</f>
        <v>Прикладная биотехнология и молекулярная микробиология. Практическое руководство для студентов, или как запатентовать биопрепарат</v>
      </c>
      <c r="B54" s="55" t="str">
        <f>HYPERLINK("http://biomolecula.ru/authors/4797","Фарофонова Василина")</f>
        <v>Фарофонова Василина</v>
      </c>
      <c r="C54" s="55"/>
      <c r="D54" s="48">
        <v>4</v>
      </c>
      <c r="E54" s="48">
        <v>4</v>
      </c>
      <c r="F54" s="48">
        <v>5</v>
      </c>
      <c r="G54" s="48">
        <v>4</v>
      </c>
      <c r="H54" s="47"/>
      <c r="I54" s="47">
        <f t="shared" si="3"/>
        <v>-0.47818492869656642</v>
      </c>
      <c r="J54" s="47">
        <f t="shared" si="4"/>
        <v>-0.47818492869656642</v>
      </c>
      <c r="K54" s="47">
        <f t="shared" si="5"/>
        <v>0.87667236927703995</v>
      </c>
      <c r="L54" s="47">
        <f t="shared" si="6"/>
        <v>-0.47818492869656642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25">
      <c r="A55" s="56" t="str">
        <f>HYPERLINK("http://biomolecula.ru/content/1843","Как раскрыть секреты цитохрома с")</f>
        <v>Как раскрыть секреты цитохрома с</v>
      </c>
      <c r="B55" s="55" t="str">
        <f>HYPERLINK("http://biomolecula.ru/authors/4348","Никельшпарг Эвелина")</f>
        <v>Никельшпарг Эвелина</v>
      </c>
      <c r="C55" s="24">
        <v>42344</v>
      </c>
      <c r="D55" s="48">
        <v>4</v>
      </c>
      <c r="E55" s="48">
        <v>5</v>
      </c>
      <c r="F55" s="48">
        <v>4</v>
      </c>
      <c r="G55" s="48">
        <v>5</v>
      </c>
      <c r="H55" s="47"/>
      <c r="I55" s="47">
        <f t="shared" si="3"/>
        <v>-0.47818492869656642</v>
      </c>
      <c r="J55" s="47">
        <f t="shared" si="4"/>
        <v>0.87667236927703995</v>
      </c>
      <c r="K55" s="47">
        <f t="shared" si="5"/>
        <v>-0.47818492869656642</v>
      </c>
      <c r="L55" s="47">
        <f t="shared" si="6"/>
        <v>0.87667236927703995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25">
      <c r="A56" s="4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25">
      <c r="A57" s="46" t="s">
        <v>18</v>
      </c>
      <c r="B57" s="57"/>
      <c r="C57" s="5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31.5" customHeight="1" x14ac:dyDescent="0.25">
      <c r="A58" s="54" t="str">
        <f>HYPERLINK("http://biomolecula.ru/content/1736","Враг моего врага — мой друг. Как бактерии и вирусы помогают создавать антитела для лечения человека")</f>
        <v>Враг моего врага — мой друг. Как бактерии и вирусы помогают создавать антитела для лечения человека</v>
      </c>
      <c r="B58" s="55" t="str">
        <f>HYPERLINK("http://biomolecula.ru/authors/4693","Павлова Екатерина")</f>
        <v>Павлова Екатерина</v>
      </c>
      <c r="C58" s="55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25">
      <c r="A59" s="54" t="str">
        <f>HYPERLINK("http://biomolecula.ru/content/1786","Хороший, плохой, злой, или Как разозлить лимфоциты и уничтожить опухоль")</f>
        <v>Хороший, плохой, злой, или Как разозлить лимфоциты и уничтожить опухоль</v>
      </c>
      <c r="B59" s="55" t="str">
        <f>HYPERLINK("http://biomolecula.ru/authors/3680","Боголюбова Аполлинария")</f>
        <v>Боголюбова Аполлинария</v>
      </c>
      <c r="C59" s="55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25">
      <c r="A60" s="54" t="str">
        <f>HYPERLINK("http://biomolecula.ru/content/1787","Вирусы и человек. Противостояние длиной в тысячелетия")</f>
        <v>Вирусы и человек. Противостояние длиной в тысячелетия</v>
      </c>
      <c r="B60" s="55" t="str">
        <f>HYPERLINK("http://biomolecula.ru/authors/4714","Ржешевский Алексей")</f>
        <v>Ржешевский Алексей</v>
      </c>
      <c r="C60" s="55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A61" s="54" t="str">
        <f>HYPERLINK("http://biomolecula.ru/content/1816","Иммуностимулирующие вакцины")</f>
        <v>Иммуностимулирующие вакцины</v>
      </c>
      <c r="B61" s="55" t="str">
        <f>HYPERLINK("http://biomolecula.ru/authors/4269","Валиева Мария")</f>
        <v>Валиева Мария</v>
      </c>
      <c r="C61" s="55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54" t="str">
        <f>HYPERLINK("http://biomolecula.ru/content/1828","Т-лимфоциты: путешественники и домоседы")</f>
        <v>Т-лимфоциты: путешественники и домоседы</v>
      </c>
      <c r="B62" s="55" t="str">
        <f>HYPERLINK("http://biomolecula.ru/authors/4805","Касацкая Софья")</f>
        <v>Касацкая Софья</v>
      </c>
      <c r="C62" s="55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A63" s="54" t="str">
        <f>HYPERLINK("http://biomolecula.ru/content/1830","Гипоксия, негипоксическая гипоксия и иммунитет")</f>
        <v>Гипоксия, негипоксическая гипоксия и иммунитет</v>
      </c>
      <c r="B63" s="55" t="str">
        <f>HYPERLINK("http://biomolecula.ru/authors/4844","Глуханюк Евгений")</f>
        <v>Глуханюк Евгений</v>
      </c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A64" s="54" t="str">
        <f>HYPERLINK("http://biomolecula.ru/content/1805","Как пережить инфекцию: искусство быть болезнеустойчивым")</f>
        <v>Как пережить инфекцию: искусство быть болезнеустойчивым</v>
      </c>
      <c r="B64" s="55" t="str">
        <f>HYPERLINK("http://biomolecula.ru/authors/2050","Олиферова Жанна")</f>
        <v>Олиферова Жанна</v>
      </c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A65" s="56" t="str">
        <f>HYPERLINK("http://biomolecula.ru/content/1810","Анализ индивидуальных репертуаров Т-клеточных рецепторов")</f>
        <v>Анализ индивидуальных репертуаров Т-клеточных рецепторов</v>
      </c>
      <c r="B65" s="55" t="str">
        <f>HYPERLINK("http://biomolecula.ru/authors/4849","Чудаков Дмитрий")</f>
        <v>Чудаков Дмитрий</v>
      </c>
      <c r="C65" s="24">
        <v>42349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A66" s="56" t="str">
        <f>HYPERLINK("http://biomolecula.ru/content/1832","Вакцинация в контексте «нано»")</f>
        <v>Вакцинация в контексте «нано»</v>
      </c>
      <c r="B66" s="55" t="str">
        <f>HYPERLINK("http://biomolecula.ru/authors/2759","Закубанский Александр")</f>
        <v>Закубанский Александр</v>
      </c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56" t="str">
        <f>HYPERLINK("http://biomolecula.ru/content/1838","Наивные Т-клетки – ключ к долголетию")</f>
        <v>Наивные Т-клетки – ключ к долголетию</v>
      </c>
      <c r="B67" s="55" t="str">
        <f>HYPERLINK("http://biomolecula.ru/authors/4637","Сукальская Анастасия")</f>
        <v>Сукальская Анастасия</v>
      </c>
      <c r="C67" s="24">
        <v>42341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56" t="str">
        <f>HYPERLINK("http://biomolecula.ru/content/1841","Необычные животные: иммунологические сказки")</f>
        <v>Необычные животные: иммунологические сказки</v>
      </c>
      <c r="B68" s="55" t="str">
        <f>HYPERLINK("http://biomolecula.ru/authors/4332","Горяйнова Оксана")</f>
        <v>Горяйнова Оксана</v>
      </c>
      <c r="C68" s="24">
        <v>42341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56" t="str">
        <f>HYPERLINK("http://biomolecula.ru/content/1842","Антиген – невидимка")</f>
        <v>Антиген – невидимка</v>
      </c>
      <c r="B69" s="55" t="str">
        <f>HYPERLINK("http://biomolecula.ru/authors/4336","Кондратова Мария")</f>
        <v>Кондратова Мария</v>
      </c>
      <c r="C69" s="24">
        <v>42346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56" t="str">
        <f>HYPERLINK("http://biomolecula.ru/content/1847","Т-клетки – марионетки или как перепрограммировать Т-лимфоциты, чтобы вылечить рак")</f>
        <v>Т-клетки – марионетки или как перепрограммировать Т-лимфоциты, чтобы вылечить рак</v>
      </c>
      <c r="B70" s="55" t="str">
        <f>HYPERLINK("http://biomolecula.ru/authors/4831","Ожаровская Татьяна")</f>
        <v>Ожаровская Татьяна</v>
      </c>
      <c r="C70" s="24">
        <v>42350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A71" s="56"/>
      <c r="B71" s="55"/>
      <c r="C71" s="55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46" t="s">
        <v>19</v>
      </c>
      <c r="B72" s="55"/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B73" s="55" t="str">
        <f>HYPERLINK("http://biomolecula.ru/authors/1843","Джагаров Дмитрий")</f>
        <v>Джагаров Дмитрий</v>
      </c>
      <c r="C73" s="55"/>
      <c r="D73" s="48">
        <v>5</v>
      </c>
      <c r="E73" s="48">
        <v>5</v>
      </c>
      <c r="F73" s="48">
        <v>3</v>
      </c>
      <c r="G73" s="48">
        <v>4</v>
      </c>
      <c r="H73" s="47"/>
      <c r="I73" s="47">
        <f t="shared" ref="I73:I78" si="7">STANDARDIZE(D73,$I$1,$K$1)</f>
        <v>0.87667236927703995</v>
      </c>
      <c r="J73" s="47">
        <f t="shared" ref="J73:J78" si="8">STANDARDIZE(E73,$I$1,$K$1)</f>
        <v>0.87667236927703995</v>
      </c>
      <c r="K73" s="47">
        <f t="shared" ref="K73:K78" si="9">STANDARDIZE(F73,$I$1,$K$1)</f>
        <v>-1.8330422266701729</v>
      </c>
      <c r="L73" s="47">
        <f t="shared" ref="L73:L78" si="10">STANDARDIZE(G73,$I$1,$K$1)</f>
        <v>-0.47818492869656642</v>
      </c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54" t="str">
        <f>HYPERLINK("http://biomolecula.ru/content/1769","Предохранитель ИПСК")</f>
        <v>Предохранитель ИПСК</v>
      </c>
      <c r="B74" s="55" t="str">
        <f>HYPERLINK("http://biomolecula.ru/authors/4265","Кондратенко Юлия")</f>
        <v>Кондратенко Юлия</v>
      </c>
      <c r="C74" s="24">
        <v>42342</v>
      </c>
      <c r="D74" s="48">
        <v>5</v>
      </c>
      <c r="E74" s="48">
        <v>5</v>
      </c>
      <c r="F74" s="48">
        <v>5</v>
      </c>
      <c r="G74" s="48">
        <v>5</v>
      </c>
      <c r="H74" s="47"/>
      <c r="I74" s="47">
        <f t="shared" si="7"/>
        <v>0.87667236927703995</v>
      </c>
      <c r="J74" s="47">
        <f t="shared" si="8"/>
        <v>0.87667236927703995</v>
      </c>
      <c r="K74" s="47">
        <f t="shared" si="9"/>
        <v>0.87667236927703995</v>
      </c>
      <c r="L74" s="47">
        <f t="shared" si="10"/>
        <v>0.87667236927703995</v>
      </c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56" t="str">
        <f>HYPERLINK("http://biomolecula.ru/content/1834","Старение и долголетие: эпигеном раскрывает тайны")</f>
        <v>Старение и долголетие: эпигеном раскрывает тайны</v>
      </c>
      <c r="B75" s="55" t="str">
        <f>HYPERLINK("http://biomolecula.ru/authors/4714","Ржешевский Алексей")</f>
        <v>Ржешевский Алексей</v>
      </c>
      <c r="C75" s="24">
        <v>42344</v>
      </c>
      <c r="D75" s="48">
        <v>5</v>
      </c>
      <c r="E75" s="48">
        <v>5</v>
      </c>
      <c r="F75" s="48">
        <v>3</v>
      </c>
      <c r="G75" s="48">
        <v>4</v>
      </c>
      <c r="H75" s="47"/>
      <c r="I75" s="47">
        <f t="shared" si="7"/>
        <v>0.87667236927703995</v>
      </c>
      <c r="J75" s="47">
        <f t="shared" si="8"/>
        <v>0.87667236927703995</v>
      </c>
      <c r="K75" s="47">
        <f t="shared" si="9"/>
        <v>-1.8330422266701729</v>
      </c>
      <c r="L75" s="47">
        <f t="shared" si="10"/>
        <v>-0.47818492869656642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56" t="str">
        <f>HYPERLINK("http://biomolecula.ru/content/1836","Старение: остановить нельзя смириться")</f>
        <v>Старение: остановить нельзя смириться</v>
      </c>
      <c r="B76" s="55" t="str">
        <f>HYPERLINK("http://biomolecula.ru/authors/4815","Абрамичева Полина")</f>
        <v>Абрамичева Полина</v>
      </c>
      <c r="C76" s="24">
        <v>42347</v>
      </c>
      <c r="D76" s="48">
        <v>5</v>
      </c>
      <c r="E76" s="48">
        <v>4</v>
      </c>
      <c r="F76" s="48">
        <v>5</v>
      </c>
      <c r="G76" s="48">
        <v>4</v>
      </c>
      <c r="H76" s="47"/>
      <c r="I76" s="47">
        <f t="shared" si="7"/>
        <v>0.87667236927703995</v>
      </c>
      <c r="J76" s="47">
        <f t="shared" si="8"/>
        <v>-0.47818492869656642</v>
      </c>
      <c r="K76" s="47">
        <f t="shared" si="9"/>
        <v>0.87667236927703995</v>
      </c>
      <c r="L76" s="47">
        <f t="shared" si="10"/>
        <v>-0.47818492869656642</v>
      </c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56" t="str">
        <f>HYPERLINK("http://biomolecula.ru/content/1837","Рыба жизни. Когда не только геном определяет продолжительность жизни")</f>
        <v>Рыба жизни. Когда не только геном определяет продолжительность жизни</v>
      </c>
      <c r="B77" s="55" t="str">
        <f>HYPERLINK("http://biomolecula.ru/authors/4779","Бурдин Роман")</f>
        <v>Бурдин Роман</v>
      </c>
      <c r="C77" s="24">
        <v>42346</v>
      </c>
      <c r="D77" s="48">
        <v>5</v>
      </c>
      <c r="E77" s="48">
        <v>5</v>
      </c>
      <c r="F77" s="48">
        <v>4</v>
      </c>
      <c r="G77" s="48">
        <v>4</v>
      </c>
      <c r="H77" s="47"/>
      <c r="I77" s="47">
        <f t="shared" si="7"/>
        <v>0.87667236927703995</v>
      </c>
      <c r="J77" s="47">
        <f t="shared" si="8"/>
        <v>0.87667236927703995</v>
      </c>
      <c r="K77" s="47">
        <f t="shared" si="9"/>
        <v>-0.47818492869656642</v>
      </c>
      <c r="L77" s="47">
        <f t="shared" si="10"/>
        <v>-0.47818492869656642</v>
      </c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56" t="str">
        <f>HYPERLINK("http://biomolecula.ru/content/1840","Реалии ДНК-«аномалии»")</f>
        <v>Реалии ДНК-«аномалии»</v>
      </c>
      <c r="B78" s="55" t="str">
        <f>HYPERLINK("http://biomolecula.ru/authors/4331","Беляева Лариса")</f>
        <v>Беляева Лариса</v>
      </c>
      <c r="C78" s="24">
        <v>42348</v>
      </c>
      <c r="D78" s="48">
        <v>4</v>
      </c>
      <c r="E78" s="48">
        <v>5</v>
      </c>
      <c r="F78" s="48">
        <v>3</v>
      </c>
      <c r="G78" s="48">
        <v>5</v>
      </c>
      <c r="H78" s="47"/>
      <c r="I78" s="47">
        <f t="shared" si="7"/>
        <v>-0.47818492869656642</v>
      </c>
      <c r="J78" s="47">
        <f t="shared" si="8"/>
        <v>0.87667236927703995</v>
      </c>
      <c r="K78" s="47">
        <f t="shared" si="9"/>
        <v>-1.8330422266701729</v>
      </c>
      <c r="L78" s="47">
        <f t="shared" si="10"/>
        <v>0.87667236927703995</v>
      </c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56"/>
      <c r="B79" s="55"/>
      <c r="C79" s="55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46" t="s">
        <v>20</v>
      </c>
      <c r="B80" s="55"/>
      <c r="C80" s="55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54" t="str">
        <f>HYPERLINK("http://biomolecula.ru/content/1747","100 лет хромосомной теории наследственности (1915–2015)")</f>
        <v>100 лет хромосомной теории наследственности (1915–2015)</v>
      </c>
      <c r="B81" s="55" t="str">
        <f>HYPERLINK("http://biomolecula.ru/authors/4684","Коряков Дмитрий")</f>
        <v>Коряков Дмитрий</v>
      </c>
      <c r="C81" s="55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54" t="str">
        <f>HYPERLINK("http://biomolecula.ru/content/1773","Трудится, как муравей? Ленится, как муравей!")</f>
        <v>Трудится, как муравей? Ленится, как муравей!</v>
      </c>
      <c r="B82" s="55" t="str">
        <f>HYPERLINK("http://biomolecula.ru/authors/4675","Кузык Валерия")</f>
        <v>Кузык Валерия</v>
      </c>
      <c r="C82" s="55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54" t="str">
        <f>HYPERLINK("http://biomolecula.ru/content/1782","О фундаментальной и прикладной науке")</f>
        <v>О фундаментальной и прикладной науке</v>
      </c>
      <c r="B83" s="55" t="str">
        <f>HYPERLINK("http://biomolecula.ru/authors/4787","Каневская Жанна")</f>
        <v>Каневская Жанна</v>
      </c>
      <c r="C83" s="55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54" t="str">
        <f>HYPERLINK("http://biomolecula.ru/content/1779","Один день из жизни Грейвса")</f>
        <v>Один день из жизни Грейвса</v>
      </c>
      <c r="B84" s="55" t="str">
        <f>HYPERLINK("http://biomolecula.ru/authors/4845","Вахрушева Анна")</f>
        <v>Вахрушева Анна</v>
      </c>
      <c r="C84" s="55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54" t="str">
        <f>HYPERLINK("http://biomolecula.ru/content/1783","Человек на чипе")</f>
        <v>Человек на чипе</v>
      </c>
      <c r="B85" s="55" t="str">
        <f>HYPERLINK("http://biomolecula.ru/authors/4824","Клёсова Ольга")</f>
        <v>Клёсова Ольга</v>
      </c>
      <c r="C85" s="55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54" t="str">
        <f>HYPERLINK("http://biomolecula.ru/content/1790","Сказка-комикс о великой битве между радикалами и антиоксидантами")</f>
        <v>Сказка-комикс о великой битве между радикалами и антиоксидантами</v>
      </c>
      <c r="B86" s="55" t="str">
        <f>HYPERLINK("http://biomolecula.ru/authors/4800","Алексашкин Антон")</f>
        <v>Алексашкин Антон</v>
      </c>
      <c r="C86" s="55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54" t="str">
        <f>HYPERLINK("http://biomolecula.ru/content/1812","Статистика: наглядное пособие")</f>
        <v>Статистика: наглядное пособие</v>
      </c>
      <c r="B87" s="55" t="str">
        <f>HYPERLINK("http://biomolecula.ru/authors/4857","Белова Елена")</f>
        <v>Белова Елена</v>
      </c>
      <c r="C87" s="55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54" t="str">
        <f>HYPERLINK("http://biomolecula.ru/content/1794","Везучий микроб")</f>
        <v>Везучий микроб</v>
      </c>
      <c r="B88" s="55" t="str">
        <f>HYPERLINK("http://biomolecula.ru/authors/4830","Радзиховская Ольга")</f>
        <v>Радзиховская Ольга</v>
      </c>
      <c r="C88" s="55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54" t="str">
        <f>HYPERLINK("http://biomolecula.ru/content/1797","Метаболизм клетки")</f>
        <v>Метаболизм клетки</v>
      </c>
      <c r="B89" s="55" t="str">
        <f>HYPERLINK("http://biomolecula.ru/authors/4843","Гафуров Азамат")</f>
        <v>Гафуров Азамат</v>
      </c>
      <c r="C89" s="55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54" t="str">
        <f>HYPERLINK("http://biomolecula.ru/content/1817","Как происходит выделение нейромедиатора")</f>
        <v>Как происходит выделение нейромедиатора</v>
      </c>
      <c r="B90" s="55" t="str">
        <f>HYPERLINK("http://biomolecula.ru/authors/4842","Сайфулина Ксения")</f>
        <v>Сайфулина Ксения</v>
      </c>
      <c r="C90" s="55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A91" s="54" t="str">
        <f>HYPERLINK("http://biomolecula.ru/content/1800","Кем быть? Как гемопоэтическая стволовая клетка выбирает профессию")</f>
        <v>Кем быть? Как гемопоэтическая стволовая клетка выбирает профессию</v>
      </c>
      <c r="B91" s="55" t="str">
        <f>HYPERLINK("http://biomolecula.ru/authors/4793","Уфимцева Анастасия")</f>
        <v>Уфимцева Анастасия</v>
      </c>
      <c r="C91" s="55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56" t="str">
        <f>HYPERLINK("http://biomolecula.ru/content/1806","Зона дельфина")</f>
        <v>Зона дельфина</v>
      </c>
      <c r="B92" s="55" t="str">
        <f>HYPERLINK("http://biomolecula.ru/authors/4791","Макарова Ольга")</f>
        <v>Макарова Ольга</v>
      </c>
      <c r="C92" s="55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56" t="str">
        <f>HYPERLINK("http://biomolecula.ru/content/1807","Муховейник")</f>
        <v>Муховейник</v>
      </c>
      <c r="B93" s="55" t="str">
        <f>HYPERLINK("http://biomolecula.ru/authors/3109","Посух Ольга")</f>
        <v>Посух Ольга</v>
      </c>
      <c r="C93" s="55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4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A95" s="59" t="s">
        <v>8</v>
      </c>
      <c r="B95" s="60"/>
      <c r="C95" s="60"/>
      <c r="D95" s="60"/>
      <c r="E95" s="60"/>
      <c r="F95" s="60"/>
      <c r="G95" s="60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61" t="s">
        <v>9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25">
      <c r="A97" s="61" t="s">
        <v>10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25">
      <c r="A98" s="61" t="s">
        <v>11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25">
      <c r="A99" s="61" t="s">
        <v>12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25">
      <c r="A100" s="61" t="s">
        <v>13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25">
      <c r="A101" s="4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25">
      <c r="A102" s="4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25">
      <c r="A103" s="4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25">
      <c r="A104" s="4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25">
      <c r="A105" s="4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25">
      <c r="A106" s="4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25">
      <c r="A107" s="4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25">
      <c r="A108" s="4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25">
      <c r="A109" s="4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25">
      <c r="A110" s="4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25">
      <c r="A111" s="4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25">
      <c r="A112" s="4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25">
      <c r="A113" s="4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25">
      <c r="A114" s="4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25">
      <c r="A115" s="4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25">
      <c r="A116" s="4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25">
      <c r="A117" s="4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25">
      <c r="A118" s="4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25">
      <c r="A119" s="4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25">
      <c r="A120" s="4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25">
      <c r="A121" s="4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25">
      <c r="A122" s="4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25">
      <c r="A123" s="4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25">
      <c r="A124" s="4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25">
      <c r="A125" s="4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25">
      <c r="A126" s="4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25">
      <c r="A127" s="4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25">
      <c r="A128" s="4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25">
      <c r="A129" s="4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25">
      <c r="A130" s="4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25">
      <c r="A131" s="4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25">
      <c r="A132" s="4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25">
      <c r="A133" s="4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25">
      <c r="A134" s="4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25">
      <c r="A135" s="4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25">
      <c r="A136" s="4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25">
      <c r="A137" s="4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25">
      <c r="A138" s="4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25">
      <c r="A139" s="4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25">
      <c r="A140" s="4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25">
      <c r="A141" s="4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25">
      <c r="A142" s="4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25">
      <c r="A143" s="4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25">
      <c r="A144" s="4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25">
      <c r="A145" s="4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25">
      <c r="A146" s="4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25">
      <c r="A147" s="4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25">
      <c r="A148" s="4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25">
      <c r="A149" s="4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25">
      <c r="A150" s="4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25">
      <c r="A151" s="4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25">
      <c r="A152" s="4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25">
      <c r="A153" s="4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25">
      <c r="A154" s="4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25">
      <c r="A155" s="4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25">
      <c r="A156" s="4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25">
      <c r="A157" s="4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25">
      <c r="A158" s="4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25">
      <c r="A159" s="4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25">
      <c r="A160" s="4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25">
      <c r="A161" s="4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25">
      <c r="A162" s="4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25">
      <c r="A163" s="4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25">
      <c r="A164" s="4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25">
      <c r="A165" s="4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25">
      <c r="A166" s="4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25">
      <c r="A167" s="4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25">
      <c r="A168" s="4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25">
      <c r="A169" s="4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25">
      <c r="A170" s="4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25">
      <c r="A171" s="4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25">
      <c r="A172" s="4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25">
      <c r="A173" s="4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25">
      <c r="A174" s="4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25">
      <c r="A175" s="4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25">
      <c r="A176" s="4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25">
      <c r="A177" s="4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25">
      <c r="A178" s="4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25">
      <c r="A179" s="4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25">
      <c r="A180" s="4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25">
      <c r="A181" s="4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25">
      <c r="A182" s="4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25">
      <c r="A183" s="4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25">
      <c r="A184" s="4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25">
      <c r="A185" s="4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25">
      <c r="A186" s="49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25">
      <c r="A187" s="49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25">
      <c r="A188" s="49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25">
      <c r="A189" s="49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25">
      <c r="A190" s="49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25">
      <c r="A191" s="49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25">
      <c r="A192" s="49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25">
      <c r="A193" s="49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25">
      <c r="A194" s="49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25">
      <c r="A195" s="49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25">
      <c r="A196" s="49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25">
      <c r="A197" s="49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25">
      <c r="A198" s="49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25">
      <c r="A199" s="49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25">
      <c r="A200" s="49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25">
      <c r="A201" s="49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25">
      <c r="A202" s="49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25">
      <c r="A203" s="49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25">
      <c r="A204" s="49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25">
      <c r="A205" s="49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25">
      <c r="A206" s="49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25">
      <c r="A207" s="49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25">
      <c r="A208" s="49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25">
      <c r="A209" s="49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25">
      <c r="A210" s="49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25">
      <c r="A211" s="49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25">
      <c r="A212" s="49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25">
      <c r="A213" s="49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25">
      <c r="A214" s="49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25">
      <c r="A215" s="49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25">
      <c r="A216" s="49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25">
      <c r="A217" s="49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25">
      <c r="A218" s="49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25">
      <c r="A219" s="49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25">
      <c r="A220" s="49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25">
      <c r="A221" s="49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25">
      <c r="A222" s="49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25">
      <c r="A223" s="49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25">
      <c r="A224" s="49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25">
      <c r="A225" s="49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25">
      <c r="A226" s="49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25">
      <c r="A227" s="49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25">
      <c r="A228" s="49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25">
      <c r="A229" s="49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25">
      <c r="A230" s="49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25">
      <c r="A231" s="49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25">
      <c r="A232" s="49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25">
      <c r="A233" s="49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25">
      <c r="A234" s="49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25">
      <c r="A235" s="49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25">
      <c r="A236" s="49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25">
      <c r="A237" s="49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25">
      <c r="A238" s="49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25">
      <c r="A239" s="49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25">
      <c r="A240" s="49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25">
      <c r="A241" s="49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25">
      <c r="A242" s="49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25">
      <c r="A243" s="49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25">
      <c r="A244" s="49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25">
      <c r="A245" s="49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25">
      <c r="A246" s="49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25">
      <c r="A247" s="49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25">
      <c r="A248" s="49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25">
      <c r="A249" s="49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25">
      <c r="A250" s="49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25">
      <c r="A251" s="49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25">
      <c r="A252" s="49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25">
      <c r="A253" s="49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25">
      <c r="A254" s="49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25">
      <c r="A255" s="49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25">
      <c r="A256" s="49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25">
      <c r="A257" s="49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25">
      <c r="A258" s="49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25">
      <c r="A259" s="49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25">
      <c r="A260" s="49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25">
      <c r="A261" s="49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25">
      <c r="A262" s="49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25">
      <c r="A263" s="49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25">
      <c r="A264" s="49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25">
      <c r="A265" s="49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25">
      <c r="A266" s="49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25">
      <c r="A267" s="49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25">
      <c r="A268" s="49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25">
      <c r="A269" s="49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25">
      <c r="A270" s="49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25">
      <c r="A271" s="49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25">
      <c r="A272" s="49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25">
      <c r="A273" s="49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25">
      <c r="A274" s="49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25">
      <c r="A275" s="49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25">
      <c r="A276" s="49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25">
      <c r="A277" s="49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25">
      <c r="A278" s="49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25">
      <c r="A279" s="49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25">
      <c r="A280" s="49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25">
      <c r="A281" s="49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25">
      <c r="A282" s="49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25">
      <c r="A283" s="49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25">
      <c r="A284" s="49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25">
      <c r="A285" s="49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25">
      <c r="A286" s="49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25">
      <c r="A287" s="49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25">
      <c r="A288" s="49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25">
      <c r="A289" s="49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25">
      <c r="A290" s="49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25">
      <c r="A291" s="49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25">
      <c r="A292" s="49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25">
      <c r="A293" s="49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25">
      <c r="A294" s="49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25">
      <c r="A295" s="49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25">
      <c r="A296" s="49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25">
      <c r="A297" s="49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25">
      <c r="A298" s="49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25">
      <c r="A299" s="49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25">
      <c r="A300" s="49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25">
      <c r="A301" s="49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25">
      <c r="A302" s="49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25">
      <c r="A303" s="49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25">
      <c r="A304" s="49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25">
      <c r="A305" s="49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25">
      <c r="A306" s="49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25">
      <c r="A307" s="49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25">
      <c r="A308" s="49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25">
      <c r="A309" s="49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25">
      <c r="A310" s="49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25">
      <c r="A311" s="49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25">
      <c r="A312" s="49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25">
      <c r="A313" s="49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25">
      <c r="A314" s="49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25">
      <c r="A315" s="49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25">
      <c r="A316" s="49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25">
      <c r="A317" s="49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25">
      <c r="A318" s="49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25">
      <c r="A319" s="49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25">
      <c r="A320" s="49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25">
      <c r="A321" s="49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25">
      <c r="A322" s="49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25">
      <c r="A323" s="49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25">
      <c r="A324" s="49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25">
      <c r="A325" s="49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25">
      <c r="A326" s="49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25">
      <c r="A327" s="49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25">
      <c r="A328" s="49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25">
      <c r="A329" s="49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25">
      <c r="A330" s="49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25">
      <c r="A331" s="49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25">
      <c r="A332" s="49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25">
      <c r="A333" s="49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25">
      <c r="A334" s="49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25">
      <c r="A335" s="49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25">
      <c r="A336" s="49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25">
      <c r="A337" s="49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25">
      <c r="A338" s="49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25">
      <c r="A339" s="49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25">
      <c r="A340" s="49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25">
      <c r="A341" s="49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25">
      <c r="A342" s="49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25">
      <c r="A343" s="49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25">
      <c r="A344" s="49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25">
      <c r="A345" s="49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25">
      <c r="A346" s="49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25">
      <c r="A347" s="49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25">
      <c r="A348" s="49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25">
      <c r="A349" s="49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25">
      <c r="A350" s="49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25">
      <c r="A351" s="49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25">
      <c r="A352" s="49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25">
      <c r="A353" s="49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25">
      <c r="A354" s="49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25">
      <c r="A355" s="49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25">
      <c r="A356" s="49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25">
      <c r="A357" s="49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25">
      <c r="A358" s="49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25">
      <c r="A359" s="49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25">
      <c r="A360" s="49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25">
      <c r="A361" s="49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25">
      <c r="A362" s="49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25">
      <c r="A363" s="49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25">
      <c r="A364" s="49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25">
      <c r="A365" s="49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25">
      <c r="A366" s="49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25">
      <c r="A367" s="49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25">
      <c r="A368" s="49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25">
      <c r="A369" s="49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25">
      <c r="A370" s="49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25">
      <c r="A371" s="49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25">
      <c r="A372" s="49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25">
      <c r="A373" s="49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25">
      <c r="A374" s="49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25">
      <c r="A375" s="49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25">
      <c r="A376" s="49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25">
      <c r="A377" s="49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25">
      <c r="A378" s="49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25">
      <c r="A379" s="49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25">
      <c r="A380" s="49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25">
      <c r="A381" s="49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25">
      <c r="A382" s="49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25">
      <c r="A383" s="49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25">
      <c r="A384" s="49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25">
      <c r="A385" s="49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25">
      <c r="A386" s="49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25">
      <c r="A387" s="49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25">
      <c r="A388" s="49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25">
      <c r="A389" s="49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25">
      <c r="A390" s="49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25">
      <c r="A391" s="49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25">
      <c r="A392" s="49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25">
      <c r="A393" s="49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25">
      <c r="A394" s="49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25">
      <c r="A395" s="49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25">
      <c r="A396" s="49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25">
      <c r="A397" s="49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25">
      <c r="A398" s="49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25">
      <c r="A399" s="49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25">
      <c r="A400" s="49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25">
      <c r="A401" s="49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25">
      <c r="A402" s="49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25">
      <c r="A403" s="49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25">
      <c r="A404" s="49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25">
      <c r="A405" s="49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25">
      <c r="A406" s="49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25">
      <c r="A407" s="49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25">
      <c r="A408" s="49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25">
      <c r="A409" s="49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25">
      <c r="A410" s="49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25">
      <c r="A411" s="49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25">
      <c r="A412" s="49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25">
      <c r="A413" s="49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25">
      <c r="A414" s="49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25">
      <c r="A415" s="49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25">
      <c r="A416" s="49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25">
      <c r="A417" s="49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25">
      <c r="A418" s="49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25">
      <c r="A419" s="49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25">
      <c r="A420" s="49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25">
      <c r="A421" s="49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25">
      <c r="A422" s="49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25">
      <c r="A423" s="49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25">
      <c r="A424" s="49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25">
      <c r="A425" s="49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25">
      <c r="A426" s="49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25">
      <c r="A427" s="49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25">
      <c r="A428" s="49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25">
      <c r="A429" s="49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25">
      <c r="A430" s="49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25">
      <c r="A431" s="49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25">
      <c r="A432" s="49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25">
      <c r="A433" s="49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25">
      <c r="A434" s="49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25">
      <c r="A435" s="49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25">
      <c r="A436" s="49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25">
      <c r="A437" s="49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25">
      <c r="A438" s="49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25">
      <c r="A439" s="49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25">
      <c r="A440" s="49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25">
      <c r="A441" s="49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25">
      <c r="A442" s="49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25">
      <c r="A443" s="49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25">
      <c r="A444" s="49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25">
      <c r="A445" s="49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25">
      <c r="A446" s="49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25">
      <c r="A447" s="49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25">
      <c r="A448" s="49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25">
      <c r="A449" s="49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25">
      <c r="A450" s="49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25">
      <c r="A451" s="49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25">
      <c r="A452" s="49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25">
      <c r="A453" s="49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25">
      <c r="A454" s="49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25">
      <c r="A455" s="49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25">
      <c r="A456" s="49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25">
      <c r="A457" s="49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25">
      <c r="A458" s="49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25">
      <c r="A459" s="49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25">
      <c r="A460" s="49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25">
      <c r="A461" s="49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25">
      <c r="A462" s="49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25">
      <c r="A463" s="49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25">
      <c r="A464" s="49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25">
      <c r="A465" s="49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25">
      <c r="A466" s="49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25">
      <c r="A467" s="49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25">
      <c r="A468" s="49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25">
      <c r="A469" s="49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25">
      <c r="A470" s="49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25">
      <c r="A471" s="49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25">
      <c r="A472" s="49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25">
      <c r="A473" s="49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25">
      <c r="A474" s="49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25">
      <c r="A475" s="49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25">
      <c r="A476" s="49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25">
      <c r="A477" s="49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25">
      <c r="A478" s="49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25">
      <c r="A479" s="49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25">
      <c r="A480" s="49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25">
      <c r="A481" s="49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25">
      <c r="A482" s="49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25">
      <c r="A483" s="49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25">
      <c r="A484" s="49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25">
      <c r="A485" s="49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25">
      <c r="A486" s="49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25">
      <c r="A487" s="49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25">
      <c r="A488" s="49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25">
      <c r="A489" s="49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25">
      <c r="A490" s="49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25">
      <c r="A491" s="49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25">
      <c r="A492" s="49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25">
      <c r="A493" s="49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25">
      <c r="A494" s="49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25">
      <c r="A495" s="49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25">
      <c r="A496" s="49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25">
      <c r="A497" s="49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25">
      <c r="A498" s="49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25">
      <c r="A499" s="49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25">
      <c r="A500" s="49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25">
      <c r="A501" s="49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25">
      <c r="A502" s="49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25">
      <c r="A503" s="49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25">
      <c r="A504" s="49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25">
      <c r="A505" s="49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25">
      <c r="A506" s="49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25">
      <c r="A507" s="49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25">
      <c r="A508" s="49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25">
      <c r="A509" s="49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25">
      <c r="A510" s="49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25">
      <c r="A511" s="49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25">
      <c r="A512" s="49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25">
      <c r="A513" s="49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25">
      <c r="A514" s="49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25">
      <c r="A515" s="49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25">
      <c r="A516" s="49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25">
      <c r="A517" s="49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25">
      <c r="A518" s="49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25">
      <c r="A519" s="49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25">
      <c r="A520" s="49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25">
      <c r="A521" s="49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25">
      <c r="A522" s="49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25">
      <c r="A523" s="49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25">
      <c r="A524" s="49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25">
      <c r="A525" s="49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25">
      <c r="A526" s="49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25">
      <c r="A527" s="49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25">
      <c r="A528" s="49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25">
      <c r="A529" s="49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25">
      <c r="A530" s="49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25">
      <c r="A531" s="49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25">
      <c r="A532" s="49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25">
      <c r="A533" s="49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25">
      <c r="A534" s="49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25">
      <c r="A535" s="49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25">
      <c r="A536" s="49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25">
      <c r="A537" s="49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25">
      <c r="A538" s="49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25">
      <c r="A539" s="49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25">
      <c r="A540" s="49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25">
      <c r="A541" s="49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25">
      <c r="A542" s="49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25">
      <c r="A543" s="49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25">
      <c r="A544" s="49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25">
      <c r="A545" s="49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25">
      <c r="A546" s="49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25">
      <c r="A547" s="49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25">
      <c r="A548" s="49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25">
      <c r="A549" s="49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25">
      <c r="A550" s="49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25">
      <c r="A551" s="49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25">
      <c r="A552" s="49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25">
      <c r="A553" s="49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25">
      <c r="A554" s="49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25">
      <c r="A555" s="49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25">
      <c r="A556" s="49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25">
      <c r="A557" s="49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25">
      <c r="A558" s="49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25">
      <c r="A559" s="49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25">
      <c r="A560" s="49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25">
      <c r="A561" s="49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25">
      <c r="A562" s="49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25">
      <c r="A563" s="49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25">
      <c r="A564" s="49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25">
      <c r="A565" s="49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25">
      <c r="A566" s="49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25">
      <c r="A567" s="49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25">
      <c r="A568" s="49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25">
      <c r="A569" s="49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25">
      <c r="A570" s="49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25">
      <c r="A571" s="49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25">
      <c r="A572" s="49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25">
      <c r="A573" s="49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25">
      <c r="A574" s="49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25">
      <c r="A575" s="49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25">
      <c r="A576" s="49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25">
      <c r="A577" s="49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25">
      <c r="A578" s="49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25">
      <c r="A579" s="49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25">
      <c r="A580" s="49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25">
      <c r="A581" s="49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25">
      <c r="A582" s="49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25">
      <c r="A583" s="49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25">
      <c r="A584" s="49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25">
      <c r="A585" s="49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25">
      <c r="A586" s="49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25">
      <c r="A587" s="49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25">
      <c r="A588" s="49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25">
      <c r="A589" s="49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25">
      <c r="A590" s="49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25">
      <c r="A591" s="49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25">
      <c r="A592" s="49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25">
      <c r="A593" s="49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25">
      <c r="A594" s="49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25">
      <c r="A595" s="49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25">
      <c r="A596" s="49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25">
      <c r="A597" s="49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25">
      <c r="A598" s="49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25">
      <c r="A599" s="49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25">
      <c r="A600" s="49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25">
      <c r="A601" s="49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25">
      <c r="A602" s="49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25">
      <c r="A603" s="49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25">
      <c r="A604" s="49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25">
      <c r="A605" s="49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25">
      <c r="A606" s="49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25">
      <c r="A607" s="49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25">
      <c r="A608" s="49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25">
      <c r="A609" s="49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25">
      <c r="A610" s="49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25">
      <c r="A611" s="49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25">
      <c r="A612" s="49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25">
      <c r="A613" s="49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25">
      <c r="A614" s="49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25">
      <c r="A615" s="49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25">
      <c r="A616" s="49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25">
      <c r="A617" s="49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25">
      <c r="A618" s="49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25">
      <c r="A619" s="49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25">
      <c r="A620" s="49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25">
      <c r="A621" s="49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25">
      <c r="A622" s="49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25">
      <c r="A623" s="49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25">
      <c r="A624" s="49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25">
      <c r="A625" s="49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25">
      <c r="A626" s="49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25">
      <c r="A627" s="49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25">
      <c r="A628" s="49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25">
      <c r="A629" s="49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25">
      <c r="A630" s="49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25">
      <c r="A631" s="49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25">
      <c r="A632" s="49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25">
      <c r="A633" s="49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25">
      <c r="A634" s="49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25">
      <c r="A635" s="49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25">
      <c r="A636" s="49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25">
      <c r="A637" s="49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25">
      <c r="A638" s="49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25">
      <c r="A639" s="49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25">
      <c r="A640" s="49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25">
      <c r="A641" s="49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25">
      <c r="A642" s="49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25">
      <c r="A643" s="49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25">
      <c r="A644" s="49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25">
      <c r="A645" s="49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25">
      <c r="A646" s="49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25">
      <c r="A647" s="49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25">
      <c r="A648" s="49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25">
      <c r="A649" s="49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25">
      <c r="A650" s="49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25">
      <c r="A651" s="49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25">
      <c r="A652" s="49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25">
      <c r="A653" s="49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25">
      <c r="A654" s="49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25">
      <c r="A655" s="49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25">
      <c r="A656" s="49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25">
      <c r="A657" s="49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25">
      <c r="A658" s="49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25">
      <c r="A659" s="49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25">
      <c r="A660" s="49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25">
      <c r="A661" s="49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25">
      <c r="A662" s="49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25">
      <c r="A663" s="49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25">
      <c r="A664" s="49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25">
      <c r="A665" s="49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25">
      <c r="A666" s="49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25">
      <c r="A667" s="49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25">
      <c r="A668" s="49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25">
      <c r="A669" s="49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25">
      <c r="A670" s="49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25">
      <c r="A671" s="49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25">
      <c r="A672" s="49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25">
      <c r="A673" s="49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25">
      <c r="A674" s="49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25">
      <c r="A675" s="49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25">
      <c r="A676" s="49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25">
      <c r="A677" s="49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25">
      <c r="A678" s="49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25">
      <c r="A679" s="49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25">
      <c r="A680" s="49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25">
      <c r="A681" s="49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25">
      <c r="A682" s="49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25">
      <c r="A683" s="49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25">
      <c r="A684" s="49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25">
      <c r="A685" s="49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25">
      <c r="A686" s="49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25">
      <c r="A687" s="49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25">
      <c r="A688" s="49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25">
      <c r="A689" s="49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25">
      <c r="A690" s="49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25">
      <c r="A691" s="49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25">
      <c r="A692" s="49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25">
      <c r="A693" s="49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25">
      <c r="A694" s="49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25">
      <c r="A695" s="49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25">
      <c r="A696" s="49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25">
      <c r="A697" s="49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25">
      <c r="A698" s="49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25">
      <c r="A699" s="49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25">
      <c r="A700" s="49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25">
      <c r="A701" s="49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25">
      <c r="A702" s="49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25">
      <c r="A703" s="49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25">
      <c r="A704" s="49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25">
      <c r="A705" s="49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25">
      <c r="A706" s="49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25">
      <c r="A707" s="49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25">
      <c r="A708" s="49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25">
      <c r="A709" s="49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25">
      <c r="A710" s="49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25">
      <c r="A711" s="49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25">
      <c r="A712" s="49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25">
      <c r="A713" s="49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25">
      <c r="A714" s="49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25">
      <c r="A715" s="49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25">
      <c r="A716" s="49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25">
      <c r="A717" s="49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25">
      <c r="A718" s="49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25">
      <c r="A719" s="49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25">
      <c r="A720" s="49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25">
      <c r="A721" s="49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25">
      <c r="A722" s="49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25">
      <c r="A723" s="49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25">
      <c r="A724" s="49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25">
      <c r="A725" s="49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25">
      <c r="A726" s="49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25">
      <c r="A727" s="49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25">
      <c r="A728" s="49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25">
      <c r="A729" s="49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25">
      <c r="A730" s="49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25">
      <c r="A731" s="49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25">
      <c r="A732" s="49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25">
      <c r="A733" s="49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25">
      <c r="A734" s="49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25">
      <c r="A735" s="49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25">
      <c r="A736" s="49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25">
      <c r="A737" s="49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25">
      <c r="A738" s="49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25">
      <c r="A739" s="49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25">
      <c r="A740" s="49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25">
      <c r="A741" s="49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25">
      <c r="A742" s="49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25">
      <c r="A743" s="49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25">
      <c r="A744" s="49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25">
      <c r="A745" s="49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25">
      <c r="A746" s="49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25">
      <c r="A747" s="49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25">
      <c r="A748" s="49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25">
      <c r="A749" s="49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25">
      <c r="A750" s="49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25">
      <c r="A751" s="49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25">
      <c r="A752" s="49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25">
      <c r="A753" s="49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25">
      <c r="A754" s="49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25">
      <c r="A755" s="49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25">
      <c r="A756" s="49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25">
      <c r="A757" s="49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25">
      <c r="A758" s="49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25">
      <c r="A759" s="49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25">
      <c r="A760" s="49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25">
      <c r="A761" s="49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25">
      <c r="A762" s="49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25">
      <c r="A763" s="49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25">
      <c r="A764" s="49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25">
      <c r="A765" s="49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25">
      <c r="A766" s="49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25">
      <c r="A767" s="49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25">
      <c r="A768" s="49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25">
      <c r="A769" s="49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25">
      <c r="A770" s="49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25">
      <c r="A771" s="49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25">
      <c r="A772" s="49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25">
      <c r="A773" s="49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25">
      <c r="A774" s="49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25">
      <c r="A775" s="49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25">
      <c r="A776" s="49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25">
      <c r="A777" s="49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25">
      <c r="A778" s="49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25">
      <c r="A779" s="49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25">
      <c r="A780" s="49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25">
      <c r="A781" s="49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25">
      <c r="A782" s="49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25">
      <c r="A783" s="49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25">
      <c r="A784" s="49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25">
      <c r="A785" s="49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25">
      <c r="A786" s="49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25">
      <c r="A787" s="49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25">
      <c r="A788" s="49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25">
      <c r="A789" s="49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25">
      <c r="A790" s="49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25">
      <c r="A791" s="49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25">
      <c r="A792" s="49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25">
      <c r="A793" s="49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25">
      <c r="A794" s="49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25">
      <c r="A795" s="49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25">
      <c r="A796" s="49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25">
      <c r="A797" s="49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25">
      <c r="A798" s="49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25">
      <c r="A799" s="49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25">
      <c r="A800" s="49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25">
      <c r="A801" s="49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25">
      <c r="A802" s="49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25">
      <c r="A803" s="49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25">
      <c r="A804" s="49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25">
      <c r="A805" s="49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25">
      <c r="A806" s="49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25">
      <c r="A807" s="49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25">
      <c r="A808" s="49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25">
      <c r="A809" s="49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25">
      <c r="A810" s="49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25">
      <c r="A811" s="49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25">
      <c r="A812" s="49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25">
      <c r="A813" s="49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25">
      <c r="A814" s="49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25">
      <c r="A815" s="49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25">
      <c r="A816" s="49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25">
      <c r="A817" s="49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25">
      <c r="A818" s="49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25">
      <c r="A819" s="49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25">
      <c r="A820" s="49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25">
      <c r="A821" s="49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25">
      <c r="A822" s="49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25">
      <c r="A823" s="49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25">
      <c r="A824" s="49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25">
      <c r="A825" s="49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25">
      <c r="A826" s="49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25">
      <c r="A827" s="49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25">
      <c r="A828" s="49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25">
      <c r="A829" s="49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25">
      <c r="A830" s="49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25">
      <c r="A831" s="49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25">
      <c r="A832" s="49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25">
      <c r="A833" s="49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25">
      <c r="A834" s="49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25">
      <c r="A835" s="49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25">
      <c r="A836" s="49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25">
      <c r="A837" s="49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25">
      <c r="A838" s="49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25">
      <c r="A839" s="49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25">
      <c r="A840" s="49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25">
      <c r="A841" s="49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25">
      <c r="A842" s="49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25">
      <c r="A843" s="49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25">
      <c r="A844" s="49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25">
      <c r="A845" s="49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25">
      <c r="A846" s="49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25">
      <c r="A847" s="49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25">
      <c r="A848" s="49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25">
      <c r="A849" s="49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25">
      <c r="A850" s="49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25">
      <c r="A851" s="49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25">
      <c r="A852" s="49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25">
      <c r="A853" s="49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25">
      <c r="A854" s="49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25">
      <c r="A855" s="49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25">
      <c r="A856" s="49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25">
      <c r="A857" s="49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25">
      <c r="A858" s="49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25">
      <c r="A859" s="49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25">
      <c r="A860" s="49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25">
      <c r="A861" s="49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25">
      <c r="A862" s="49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25">
      <c r="A863" s="49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25">
      <c r="A864" s="49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25">
      <c r="A865" s="49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25">
      <c r="A866" s="49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25">
      <c r="A867" s="49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25">
      <c r="A868" s="49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25">
      <c r="A869" s="49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25">
      <c r="A870" s="49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25">
      <c r="A871" s="49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25">
      <c r="A872" s="49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25">
      <c r="A873" s="49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25">
      <c r="A874" s="49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25">
      <c r="A875" s="49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25">
      <c r="A876" s="49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25">
      <c r="A877" s="49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25">
      <c r="A878" s="49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25">
      <c r="A879" s="49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25">
      <c r="A880" s="49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25">
      <c r="A881" s="49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25">
      <c r="A882" s="49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25">
      <c r="A883" s="49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25">
      <c r="A884" s="49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25">
      <c r="A885" s="49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25">
      <c r="A886" s="49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25">
      <c r="A887" s="49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25">
      <c r="A888" s="49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25">
      <c r="A889" s="49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25">
      <c r="A890" s="49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25">
      <c r="A891" s="49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25">
      <c r="A892" s="49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25">
      <c r="A893" s="49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25">
      <c r="A894" s="49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25">
      <c r="A895" s="49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25">
      <c r="A896" s="49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25">
      <c r="A897" s="49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25">
      <c r="A898" s="49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25">
      <c r="A899" s="49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25">
      <c r="A900" s="49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25">
      <c r="A901" s="49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25">
      <c r="A902" s="49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25">
      <c r="A903" s="49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25">
      <c r="A904" s="49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25">
      <c r="A905" s="49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25">
      <c r="A906" s="49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25">
      <c r="A907" s="49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25">
      <c r="A908" s="49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25">
      <c r="A909" s="49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25">
      <c r="A910" s="49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25">
      <c r="A911" s="49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25">
      <c r="A912" s="49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25">
      <c r="A913" s="49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25">
      <c r="A914" s="49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25">
      <c r="A915" s="49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25">
      <c r="A916" s="49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25">
      <c r="A917" s="49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25">
      <c r="A918" s="49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25">
      <c r="A919" s="49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25">
      <c r="A920" s="49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25">
      <c r="A921" s="49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25">
      <c r="A922" s="49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25">
      <c r="A923" s="49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25">
      <c r="A924" s="49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25">
      <c r="A925" s="49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25">
      <c r="A926" s="49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25">
      <c r="A927" s="49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25">
      <c r="A928" s="49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25">
      <c r="A929" s="49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25">
      <c r="A930" s="49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25">
      <c r="A931" s="49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25">
      <c r="A932" s="49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25">
      <c r="A933" s="49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25">
      <c r="A934" s="49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25">
      <c r="A935" s="49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25">
      <c r="A936" s="49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25">
      <c r="A937" s="49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25">
      <c r="A938" s="49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25">
      <c r="A939" s="49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25">
      <c r="A940" s="49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25">
      <c r="A941" s="49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25">
      <c r="A942" s="49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25">
      <c r="A943" s="49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25">
      <c r="A944" s="49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25">
      <c r="A945" s="49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25">
      <c r="A946" s="49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25">
      <c r="A947" s="49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25">
      <c r="A948" s="49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25">
      <c r="A949" s="49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25">
      <c r="A950" s="49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25">
      <c r="A951" s="49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25">
      <c r="A952" s="49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25">
      <c r="A953" s="49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25">
      <c r="A954" s="49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25">
      <c r="A955" s="49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25">
      <c r="A956" s="49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25">
      <c r="A957" s="49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25">
      <c r="A958" s="49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25">
      <c r="A959" s="49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25">
      <c r="A960" s="49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25">
      <c r="A961" s="49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25">
      <c r="A962" s="49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25">
      <c r="A963" s="49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25">
      <c r="A964" s="49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25">
      <c r="A965" s="49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25">
      <c r="A966" s="49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25">
      <c r="A967" s="49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25">
      <c r="A968" s="49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25">
      <c r="A969" s="49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25">
      <c r="A970" s="49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25">
      <c r="A971" s="49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25">
      <c r="A972" s="49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25">
      <c r="A973" s="49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25">
      <c r="A974" s="49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25">
      <c r="A975" s="49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25">
      <c r="A976" s="49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25">
      <c r="A977" s="49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25">
      <c r="A978" s="49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25">
      <c r="A979" s="49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25">
      <c r="A980" s="49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25">
      <c r="A981" s="49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25">
      <c r="A982" s="49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25">
      <c r="A983" s="49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25">
      <c r="A984" s="49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25">
      <c r="A985" s="49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25">
      <c r="A986" s="49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25">
      <c r="A987" s="49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25">
      <c r="A988" s="49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25">
      <c r="A989" s="49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25">
      <c r="A990" s="49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25">
      <c r="A991" s="49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25">
      <c r="A992" s="49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25">
      <c r="A993" s="49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25">
      <c r="A994" s="49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25">
      <c r="A995" s="49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25">
      <c r="A996" s="49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25">
      <c r="A997" s="49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25">
      <c r="A998" s="49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25">
      <c r="A999" s="49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25">
      <c r="A1000" s="49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12">
    <mergeCell ref="I2:L2"/>
    <mergeCell ref="I7:I8"/>
    <mergeCell ref="J7:J8"/>
    <mergeCell ref="K7:K8"/>
    <mergeCell ref="L7:L8"/>
    <mergeCell ref="B1:G1"/>
    <mergeCell ref="D2:G2"/>
    <mergeCell ref="C7:C8"/>
    <mergeCell ref="D7:D8"/>
    <mergeCell ref="E7:E8"/>
    <mergeCell ref="F7:F8"/>
    <mergeCell ref="G7:G8"/>
  </mergeCells>
  <hyperlinks>
    <hyperlink ref="A6" r:id="rId1" display="http://biomolecula.ru/content/1708"/>
    <hyperlink ref="B6" r:id="rId2" display="http://biomolecula.ru/authors/4319"/>
    <hyperlink ref="A7" r:id="rId3" display="http://biomolecula.ru/content/1741"/>
    <hyperlink ref="B7" r:id="rId4" display="http://biomolecula.ru/authors/3893"/>
    <hyperlink ref="A8" r:id="rId5" display="http://biomolecula.ru/content/1742"/>
    <hyperlink ref="B8" r:id="rId6" display="http://biomolecula.ru/authors/3893"/>
    <hyperlink ref="A9" r:id="rId7" display="http://biomolecula.ru/content/1750"/>
    <hyperlink ref="B9" r:id="rId8" display="http://biomolecula.ru/authors/4728"/>
    <hyperlink ref="A10" r:id="rId9" display="http://biomolecula.ru/content/1751"/>
    <hyperlink ref="B10" r:id="rId10" display="http://biomolecula.ru/authors/4736"/>
    <hyperlink ref="A11" r:id="rId11" display="http://biomolecula.ru/content/1756"/>
    <hyperlink ref="B11" r:id="rId12" display="http://biomolecula.ru/authors/4682"/>
    <hyperlink ref="A12" r:id="rId13" display="http://biomolecula.ru/content/1762"/>
    <hyperlink ref="B12" r:id="rId14" display="http://biomolecula.ru/authors/4735"/>
    <hyperlink ref="A13" r:id="rId15" display="http://biomolecula.ru/content/1771"/>
    <hyperlink ref="B13" r:id="rId16" display="http://biomolecula.ru/authors/3877"/>
    <hyperlink ref="A14" r:id="rId17" display="http://biomolecula.ru/content/1777"/>
    <hyperlink ref="B14" r:id="rId18" display="http://biomolecula.ru/authors/4714"/>
    <hyperlink ref="A15" r:id="rId19" display="http://biomolecula.ru/content/1778"/>
    <hyperlink ref="B15" r:id="rId20" display="http://biomolecula.ru/authors/4791"/>
    <hyperlink ref="A16" r:id="rId21" display="http://biomolecula.ru/content/1784"/>
    <hyperlink ref="B16" r:id="rId22" display="http://biomolecula.ru/authors/4277"/>
    <hyperlink ref="A17" r:id="rId23" display="http://biomolecula.ru/content/1789"/>
    <hyperlink ref="B17" r:id="rId24" display="http://biomolecula.ru/authors/4712"/>
    <hyperlink ref="A18" r:id="rId25" display="http://biomolecula.ru/content/1792"/>
    <hyperlink ref="B18" r:id="rId26" display="http://biomolecula.ru/authors/4675"/>
    <hyperlink ref="A19" r:id="rId27" display="http://biomolecula.ru/content/1814"/>
    <hyperlink ref="B19" r:id="rId28" display="http://biomolecula.ru/authors/4828"/>
    <hyperlink ref="A20" r:id="rId29" display="http://biomolecula.ru/content/1793"/>
    <hyperlink ref="B20" r:id="rId30" display="http://biomolecula.ru/authors/4794"/>
    <hyperlink ref="A21" r:id="rId31" display="http://biomolecula.ru/content/1795"/>
    <hyperlink ref="B21" r:id="rId32" display="http://biomolecula.ru/authors/4776"/>
    <hyperlink ref="A22" r:id="rId33" display="http://biomolecula.ru/content/1798"/>
    <hyperlink ref="B22" r:id="rId34" display="http://biomolecula.ru/authors/4755"/>
    <hyperlink ref="A23" r:id="rId35" display="http://biomolecula.ru/content/1821"/>
    <hyperlink ref="B23" r:id="rId36" display="http://biomolecula.ru/authors/3833"/>
    <hyperlink ref="A24" r:id="rId37" display="http://biomolecula.ru/content/1822"/>
    <hyperlink ref="B24" r:id="rId38" display="http://biomolecula.ru/authors/4812"/>
    <hyperlink ref="A25" r:id="rId39" display="http://biomolecula.ru/content/1823"/>
    <hyperlink ref="B25" r:id="rId40" display="http://biomolecula.ru/authors/4789"/>
    <hyperlink ref="A26" r:id="rId41" display="http://biomolecula.ru/content/1801"/>
    <hyperlink ref="B26" r:id="rId42" display="http://biomolecula.ru/authors/4817"/>
    <hyperlink ref="A27" r:id="rId43" display="http://biomolecula.ru/content/1827"/>
    <hyperlink ref="B27" r:id="rId44" display="http://biomolecula.ru/authors/4822"/>
    <hyperlink ref="A28" r:id="rId45" display="http://biomolecula.ru/content/1804"/>
    <hyperlink ref="B28" r:id="rId46" display="http://biomolecula.ru/authors/4809"/>
    <hyperlink ref="A29" r:id="rId47" display="http://biomolecula.ru/content/1808"/>
    <hyperlink ref="B29" r:id="rId48" display="http://biomolecula.ru/authors/4732"/>
    <hyperlink ref="A30" r:id="rId49" display="http://biomolecula.ru/content/1835"/>
    <hyperlink ref="B30" r:id="rId50" display="http://biomolecula.ru/authors/4775"/>
    <hyperlink ref="A31" r:id="rId51" display="http://biomolecula.ru/content/1839"/>
    <hyperlink ref="B31" r:id="rId52" display="http://biomolecula.ru/authors/4339"/>
    <hyperlink ref="A32" r:id="rId53" display="http://biomolecula.ru/content/1844"/>
    <hyperlink ref="B32" r:id="rId54" display="http://biomolecula.ru/authors/4348"/>
    <hyperlink ref="A33" r:id="rId55" display="http://biomolecula.ru/content/1846"/>
    <hyperlink ref="B33" r:id="rId56" display="http://biomolecula.ru/authors/4820"/>
    <hyperlink ref="A34" r:id="rId57" display="http://biomolecula.ru/content/1845"/>
    <hyperlink ref="B34" r:id="rId58" display="http://biomolecula.ru/authors/4858"/>
    <hyperlink ref="A37" r:id="rId59" display="http://biomolecula.ru/content/1719"/>
    <hyperlink ref="B37" r:id="rId60" display="http://biomolecula.ru/authors/3680"/>
    <hyperlink ref="A38" r:id="rId61" display="http://biomolecula.ru/content/1725"/>
    <hyperlink ref="B38" r:id="rId62" display="http://biomolecula.ru/authors/4652"/>
    <hyperlink ref="A39" r:id="rId63" display="http://biomolecula.ru/content/1732"/>
    <hyperlink ref="B39" r:id="rId64" display="http://biomolecula.ru/authors/4602"/>
    <hyperlink ref="A40" r:id="rId65" display="http://biomolecula.ru/content/1770"/>
    <hyperlink ref="B40" r:id="rId66" display="http://biomolecula.ru/authors/4518"/>
    <hyperlink ref="A41" r:id="rId67" display="http://biomolecula.ru/content/1791"/>
    <hyperlink ref="B41" r:id="rId68" display="http://biomolecula.ru/authors/4798"/>
    <hyperlink ref="A42" r:id="rId69" display="http://biomolecula.ru/content/1796"/>
    <hyperlink ref="B42" r:id="rId70" display="http://biomolecula.ru/authors/3718"/>
    <hyperlink ref="A43" r:id="rId71" display="http://biomolecula.ru/content/1818"/>
    <hyperlink ref="B43" r:id="rId72" display="http://biomolecula.ru/authors/4802"/>
    <hyperlink ref="A44" r:id="rId73" display="http://biomolecula.ru/content/1802"/>
    <hyperlink ref="B44" r:id="rId74" display="http://biomolecula.ru/authors/4762"/>
    <hyperlink ref="A45" r:id="rId75" display="http://biomolecula.ru/content/1803"/>
    <hyperlink ref="B45" r:id="rId76" display="http://biomolecula.ru/authors/4354"/>
    <hyperlink ref="A46" r:id="rId77" display="http://biomolecula.ru/content/1809"/>
    <hyperlink ref="B46" r:id="rId78" display="http://biomolecula.ru/authors/4840"/>
    <hyperlink ref="A49" r:id="rId79" display="http://biomolecula.ru/content/1755"/>
    <hyperlink ref="B49" r:id="rId80" display="http://biomolecula.ru/authors/4699"/>
    <hyperlink ref="A50" r:id="rId81" display="http://biomolecula.ru/content/1785"/>
    <hyperlink ref="B50" r:id="rId82" display="http://biomolecula.ru/authors/2833"/>
    <hyperlink ref="A51" r:id="rId83" display="http://biomolecula.ru/content/1819"/>
    <hyperlink ref="B51" r:id="rId84" display="http://biomolecula.ru/authors/4657"/>
    <hyperlink ref="A52" r:id="rId85" display="http://biomolecula.ru/content/1799"/>
    <hyperlink ref="B52" r:id="rId86" display="http://biomolecula.ru/authors/4790"/>
    <hyperlink ref="A53" r:id="rId87" display="http://biomolecula.ru/content/1825"/>
    <hyperlink ref="B53" r:id="rId88" display="http://biomolecula.ru/authors/4846"/>
    <hyperlink ref="A54" r:id="rId89" display="http://biomolecula.ru/content/1826"/>
    <hyperlink ref="B54" r:id="rId90" display="http://biomolecula.ru/authors/4797"/>
    <hyperlink ref="A55" r:id="rId91" display="http://biomolecula.ru/content/1843"/>
    <hyperlink ref="B55" r:id="rId92" display="http://biomolecula.ru/authors/4348"/>
    <hyperlink ref="A58" r:id="rId93" display="http://biomolecula.ru/content/1736"/>
    <hyperlink ref="B58" r:id="rId94" display="http://biomolecula.ru/authors/4693"/>
    <hyperlink ref="A59" r:id="rId95" display="http://biomolecula.ru/content/1786"/>
    <hyperlink ref="B59" r:id="rId96" display="http://biomolecula.ru/authors/3680"/>
    <hyperlink ref="A60" r:id="rId97" display="http://biomolecula.ru/content/1787"/>
    <hyperlink ref="B60" r:id="rId98" display="http://biomolecula.ru/authors/4714"/>
    <hyperlink ref="A61" r:id="rId99" display="http://biomolecula.ru/content/1816"/>
    <hyperlink ref="B61" r:id="rId100" display="http://biomolecula.ru/authors/4269"/>
    <hyperlink ref="A62" r:id="rId101" display="http://biomolecula.ru/content/1828"/>
    <hyperlink ref="B62" r:id="rId102" display="http://biomolecula.ru/authors/4805"/>
    <hyperlink ref="A63" r:id="rId103" display="http://biomolecula.ru/content/1830"/>
    <hyperlink ref="B63" r:id="rId104" display="http://biomolecula.ru/authors/4844"/>
    <hyperlink ref="A64" r:id="rId105" display="http://biomolecula.ru/content/1805"/>
    <hyperlink ref="B64" r:id="rId106" display="http://biomolecula.ru/authors/2050"/>
    <hyperlink ref="A65" r:id="rId107" display="http://biomolecula.ru/content/1810"/>
    <hyperlink ref="B65" r:id="rId108" display="http://biomolecula.ru/authors/4849"/>
    <hyperlink ref="A66" r:id="rId109" display="http://biomolecula.ru/content/1832"/>
    <hyperlink ref="B66" r:id="rId110" display="http://biomolecula.ru/authors/2759"/>
    <hyperlink ref="A67" r:id="rId111" display="http://biomolecula.ru/content/1838"/>
    <hyperlink ref="B67" r:id="rId112" display="http://biomolecula.ru/authors/4637"/>
    <hyperlink ref="A68" r:id="rId113" display="http://biomolecula.ru/content/1841"/>
    <hyperlink ref="B68" r:id="rId114" display="http://biomolecula.ru/authors/4332"/>
    <hyperlink ref="A69" r:id="rId115" display="http://biomolecula.ru/content/1842"/>
    <hyperlink ref="B69" r:id="rId116" display="http://biomolecula.ru/authors/4336"/>
    <hyperlink ref="A70" r:id="rId117" display="http://biomolecula.ru/content/1847"/>
    <hyperlink ref="B70" r:id="rId118" display="http://biomolecula.ru/authors/4831"/>
    <hyperlink ref="B73" r:id="rId119" display="http://biomolecula.ru/authors/1843"/>
    <hyperlink ref="A74" r:id="rId120" display="http://biomolecula.ru/content/1769"/>
    <hyperlink ref="B74" r:id="rId121" display="http://biomolecula.ru/authors/4265"/>
    <hyperlink ref="A75" r:id="rId122" display="http://biomolecula.ru/content/1834"/>
    <hyperlink ref="B75" r:id="rId123" display="http://biomolecula.ru/authors/4714"/>
    <hyperlink ref="A76" r:id="rId124" display="http://biomolecula.ru/content/1836"/>
    <hyperlink ref="B76" r:id="rId125" display="http://biomolecula.ru/authors/4815"/>
    <hyperlink ref="A77" r:id="rId126" display="http://biomolecula.ru/content/1837"/>
    <hyperlink ref="B77" r:id="rId127" display="http://biomolecula.ru/authors/4779"/>
    <hyperlink ref="A78" r:id="rId128" display="http://biomolecula.ru/content/1840"/>
    <hyperlink ref="B78" r:id="rId129" display="http://biomolecula.ru/authors/4331"/>
    <hyperlink ref="A81" r:id="rId130" display="http://biomolecula.ru/content/1747"/>
    <hyperlink ref="B81" r:id="rId131" display="http://biomolecula.ru/authors/4684"/>
    <hyperlink ref="A82" r:id="rId132" display="http://biomolecula.ru/content/1773"/>
    <hyperlink ref="B82" r:id="rId133" display="http://biomolecula.ru/authors/4675"/>
    <hyperlink ref="A83" r:id="rId134" display="http://biomolecula.ru/content/1782"/>
    <hyperlink ref="B83" r:id="rId135" display="http://biomolecula.ru/authors/4787"/>
    <hyperlink ref="A84" r:id="rId136" display="http://biomolecula.ru/content/1779"/>
    <hyperlink ref="B84" r:id="rId137" display="http://biomolecula.ru/authors/4845"/>
    <hyperlink ref="A85" r:id="rId138" display="http://biomolecula.ru/content/1783"/>
    <hyperlink ref="B85" r:id="rId139" display="http://biomolecula.ru/authors/4824"/>
    <hyperlink ref="A86" r:id="rId140" display="http://biomolecula.ru/content/1790"/>
    <hyperlink ref="B86" r:id="rId141" display="http://biomolecula.ru/authors/4800"/>
    <hyperlink ref="A87" r:id="rId142" display="http://biomolecula.ru/content/1812"/>
    <hyperlink ref="B87" r:id="rId143" display="http://biomolecula.ru/authors/4857"/>
    <hyperlink ref="A88" r:id="rId144" display="http://biomolecula.ru/content/1794"/>
    <hyperlink ref="B88" r:id="rId145" display="http://biomolecula.ru/authors/4830"/>
    <hyperlink ref="A89" r:id="rId146" display="http://biomolecula.ru/content/1797"/>
    <hyperlink ref="B89" r:id="rId147" display="http://biomolecula.ru/authors/4843"/>
    <hyperlink ref="A90" r:id="rId148" display="http://biomolecula.ru/content/1817"/>
    <hyperlink ref="B90" r:id="rId149" display="http://biomolecula.ru/authors/4842"/>
    <hyperlink ref="A91" r:id="rId150" display="http://biomolecula.ru/content/1800"/>
    <hyperlink ref="B91" r:id="rId151" display="http://biomolecula.ru/authors/4793"/>
    <hyperlink ref="A92" r:id="rId152" display="http://biomolecula.ru/content/1806"/>
    <hyperlink ref="B92" r:id="rId153" display="http://biomolecula.ru/authors/4791"/>
    <hyperlink ref="A93" r:id="rId154" display="http://biomolecula.ru/content/1807"/>
    <hyperlink ref="B93" r:id="rId155" display="http://biomolecula.ru/authors/3109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topLeftCell="A71" workbookViewId="0">
      <selection activeCell="A80" sqref="A80"/>
    </sheetView>
  </sheetViews>
  <sheetFormatPr defaultColWidth="11" defaultRowHeight="15.75" x14ac:dyDescent="0.25"/>
  <cols>
    <col min="1" max="1" width="81.875" customWidth="1"/>
    <col min="2" max="4" width="23" customWidth="1"/>
    <col min="5" max="5" width="24.125" bestFit="1" customWidth="1"/>
    <col min="6" max="6" width="25.125" bestFit="1" customWidth="1"/>
    <col min="7" max="7" width="20.875" customWidth="1"/>
  </cols>
  <sheetData>
    <row r="1" spans="1:12" x14ac:dyDescent="0.25">
      <c r="A1" s="19" t="s">
        <v>14</v>
      </c>
      <c r="B1" s="104" t="s">
        <v>194</v>
      </c>
      <c r="C1" s="104"/>
      <c r="D1" s="104"/>
      <c r="E1" s="104"/>
      <c r="F1" s="104"/>
      <c r="G1" s="104"/>
      <c r="H1" t="s">
        <v>174</v>
      </c>
      <c r="I1">
        <f>AVERAGE(D58:G70)</f>
        <v>4.865384615384615</v>
      </c>
      <c r="J1" t="s">
        <v>175</v>
      </c>
      <c r="K1">
        <f>_xlfn.STDEV.S(D58:G70)</f>
        <v>0.34464225008403476</v>
      </c>
    </row>
    <row r="2" spans="1:12" x14ac:dyDescent="0.25">
      <c r="D2" s="107" t="s">
        <v>16</v>
      </c>
      <c r="E2" s="107"/>
      <c r="F2" s="107"/>
      <c r="G2" s="107"/>
      <c r="I2" s="117" t="s">
        <v>213</v>
      </c>
      <c r="J2" s="117"/>
      <c r="K2" s="117"/>
      <c r="L2" s="117"/>
    </row>
    <row r="3" spans="1:12" s="2" customFormat="1" ht="18.75" x14ac:dyDescent="0.3">
      <c r="A3" s="3" t="s">
        <v>3</v>
      </c>
      <c r="B3" s="3" t="s">
        <v>4</v>
      </c>
      <c r="C3" s="3" t="s">
        <v>17</v>
      </c>
      <c r="D3" s="3" t="s">
        <v>15</v>
      </c>
      <c r="E3" s="3" t="s">
        <v>7</v>
      </c>
      <c r="F3" s="3" t="s">
        <v>5</v>
      </c>
      <c r="G3" s="3" t="s">
        <v>6</v>
      </c>
      <c r="I3" s="2" t="str">
        <f>D3</f>
        <v>Актуальность темы</v>
      </c>
      <c r="J3" s="2" t="str">
        <f t="shared" ref="J3:L3" si="0">E3</f>
        <v>Научная состовляющая</v>
      </c>
      <c r="K3" s="2" t="str">
        <f t="shared" si="0"/>
        <v>Доступность изложения</v>
      </c>
      <c r="L3" s="2" t="str">
        <f t="shared" si="0"/>
        <v>Авторский стиль</v>
      </c>
    </row>
    <row r="4" spans="1:12" s="2" customFormat="1" ht="18.75" x14ac:dyDescent="0.3">
      <c r="A4" s="4"/>
      <c r="B4" s="4"/>
      <c r="C4" s="20"/>
      <c r="D4" s="4"/>
      <c r="E4" s="4"/>
      <c r="F4" s="4"/>
      <c r="G4" s="4"/>
    </row>
    <row r="5" spans="1:12" s="21" customFormat="1" x14ac:dyDescent="0.25">
      <c r="A5" s="19" t="s">
        <v>0</v>
      </c>
    </row>
    <row r="6" spans="1:12" s="21" customFormat="1" x14ac:dyDescent="0.25">
      <c r="A6" s="13" t="s">
        <v>21</v>
      </c>
      <c r="B6" s="6" t="s">
        <v>22</v>
      </c>
      <c r="C6" s="22"/>
    </row>
    <row r="7" spans="1:12" s="21" customFormat="1" x14ac:dyDescent="0.25">
      <c r="A7" s="23" t="s">
        <v>31</v>
      </c>
      <c r="B7" s="6" t="s">
        <v>32</v>
      </c>
      <c r="C7" s="118"/>
      <c r="D7" s="119"/>
      <c r="E7" s="119"/>
      <c r="F7" s="119"/>
      <c r="G7" s="119"/>
    </row>
    <row r="8" spans="1:12" s="21" customFormat="1" x14ac:dyDescent="0.25">
      <c r="A8" s="13" t="s">
        <v>33</v>
      </c>
      <c r="B8" s="6" t="s">
        <v>32</v>
      </c>
      <c r="C8" s="118"/>
      <c r="D8" s="119"/>
      <c r="E8" s="119"/>
      <c r="F8" s="119"/>
      <c r="G8" s="119"/>
    </row>
    <row r="9" spans="1:12" s="21" customFormat="1" x14ac:dyDescent="0.25">
      <c r="A9" s="13" t="s">
        <v>36</v>
      </c>
      <c r="B9" s="6" t="s">
        <v>37</v>
      </c>
      <c r="C9" s="22"/>
    </row>
    <row r="10" spans="1:12" s="21" customFormat="1" x14ac:dyDescent="0.25">
      <c r="A10" s="13" t="s">
        <v>38</v>
      </c>
      <c r="B10" s="6" t="s">
        <v>39</v>
      </c>
      <c r="C10" s="22"/>
    </row>
    <row r="11" spans="1:12" s="21" customFormat="1" x14ac:dyDescent="0.25">
      <c r="A11" s="13" t="s">
        <v>42</v>
      </c>
      <c r="B11" s="6" t="s">
        <v>43</v>
      </c>
      <c r="C11" s="22"/>
    </row>
    <row r="12" spans="1:12" s="21" customFormat="1" x14ac:dyDescent="0.25">
      <c r="A12" s="13" t="s">
        <v>44</v>
      </c>
      <c r="B12" s="6" t="s">
        <v>45</v>
      </c>
      <c r="C12" s="22"/>
    </row>
    <row r="13" spans="1:12" s="21" customFormat="1" x14ac:dyDescent="0.25">
      <c r="A13" s="13" t="s">
        <v>50</v>
      </c>
      <c r="B13" s="6" t="s">
        <v>51</v>
      </c>
      <c r="C13" s="22"/>
    </row>
    <row r="14" spans="1:12" s="21" customFormat="1" x14ac:dyDescent="0.25">
      <c r="A14" s="13" t="s">
        <v>54</v>
      </c>
      <c r="B14" s="6" t="s">
        <v>55</v>
      </c>
      <c r="C14" s="22"/>
    </row>
    <row r="15" spans="1:12" s="21" customFormat="1" x14ac:dyDescent="0.25">
      <c r="A15" s="13" t="s">
        <v>56</v>
      </c>
      <c r="B15" s="6" t="s">
        <v>57</v>
      </c>
      <c r="C15" s="22"/>
    </row>
    <row r="16" spans="1:12" x14ac:dyDescent="0.25">
      <c r="A16" s="13" t="s">
        <v>60</v>
      </c>
      <c r="B16" s="6" t="s">
        <v>61</v>
      </c>
      <c r="C16" s="21"/>
    </row>
    <row r="17" spans="1:3" s="21" customFormat="1" x14ac:dyDescent="0.25">
      <c r="A17" s="13" t="s">
        <v>70</v>
      </c>
      <c r="B17" s="6" t="s">
        <v>71</v>
      </c>
      <c r="C17" s="22"/>
    </row>
    <row r="18" spans="1:3" s="21" customFormat="1" x14ac:dyDescent="0.25">
      <c r="A18" s="13" t="s">
        <v>78</v>
      </c>
      <c r="B18" s="6" t="s">
        <v>53</v>
      </c>
      <c r="C18" s="22"/>
    </row>
    <row r="19" spans="1:3" s="21" customFormat="1" x14ac:dyDescent="0.25">
      <c r="A19" s="13" t="s">
        <v>79</v>
      </c>
      <c r="B19" s="6" t="s">
        <v>80</v>
      </c>
      <c r="C19" s="22"/>
    </row>
    <row r="20" spans="1:3" s="21" customFormat="1" x14ac:dyDescent="0.25">
      <c r="A20" s="13" t="s">
        <v>81</v>
      </c>
      <c r="B20" s="6" t="s">
        <v>82</v>
      </c>
      <c r="C20" s="22"/>
    </row>
    <row r="21" spans="1:3" s="21" customFormat="1" x14ac:dyDescent="0.25">
      <c r="A21" s="13" t="s">
        <v>85</v>
      </c>
      <c r="B21" s="6" t="s">
        <v>86</v>
      </c>
      <c r="C21" s="22"/>
    </row>
    <row r="22" spans="1:3" s="21" customFormat="1" x14ac:dyDescent="0.25">
      <c r="A22" s="13" t="s">
        <v>97</v>
      </c>
      <c r="B22" s="6" t="s">
        <v>98</v>
      </c>
      <c r="C22" s="22"/>
    </row>
    <row r="23" spans="1:3" s="21" customFormat="1" x14ac:dyDescent="0.25">
      <c r="A23" s="13" t="s">
        <v>101</v>
      </c>
      <c r="B23" s="6" t="s">
        <v>102</v>
      </c>
      <c r="C23" s="22"/>
    </row>
    <row r="24" spans="1:3" s="21" customFormat="1" x14ac:dyDescent="0.25">
      <c r="A24" s="13" t="s">
        <v>107</v>
      </c>
      <c r="B24" s="6" t="s">
        <v>108</v>
      </c>
      <c r="C24" s="22"/>
    </row>
    <row r="25" spans="1:3" s="21" customFormat="1" x14ac:dyDescent="0.25">
      <c r="A25" s="13" t="s">
        <v>109</v>
      </c>
      <c r="B25" s="6" t="s">
        <v>110</v>
      </c>
      <c r="C25" s="22"/>
    </row>
    <row r="26" spans="1:3" s="21" customFormat="1" x14ac:dyDescent="0.25">
      <c r="A26" s="13" t="s">
        <v>111</v>
      </c>
      <c r="B26" s="6" t="s">
        <v>112</v>
      </c>
      <c r="C26" s="22"/>
    </row>
    <row r="27" spans="1:3" s="21" customFormat="1" x14ac:dyDescent="0.25">
      <c r="A27" s="13" t="s">
        <v>121</v>
      </c>
      <c r="B27" s="6" t="s">
        <v>122</v>
      </c>
      <c r="C27" s="22"/>
    </row>
    <row r="28" spans="1:3" s="21" customFormat="1" x14ac:dyDescent="0.25">
      <c r="A28" s="13" t="s">
        <v>123</v>
      </c>
      <c r="B28" s="6" t="s">
        <v>124</v>
      </c>
      <c r="C28" s="22"/>
    </row>
    <row r="29" spans="1:3" s="21" customFormat="1" x14ac:dyDescent="0.25">
      <c r="A29" s="6" t="s">
        <v>134</v>
      </c>
      <c r="B29" s="6" t="s">
        <v>135</v>
      </c>
      <c r="C29" s="22"/>
    </row>
    <row r="30" spans="1:3" s="21" customFormat="1" x14ac:dyDescent="0.25">
      <c r="A30" s="6" t="s">
        <v>145</v>
      </c>
      <c r="B30" s="6" t="s">
        <v>146</v>
      </c>
      <c r="C30" s="24">
        <v>42345</v>
      </c>
    </row>
    <row r="31" spans="1:3" s="21" customFormat="1" x14ac:dyDescent="0.25">
      <c r="A31" s="6" t="s">
        <v>153</v>
      </c>
      <c r="B31" s="6" t="s">
        <v>154</v>
      </c>
      <c r="C31" s="24">
        <v>42340</v>
      </c>
    </row>
    <row r="32" spans="1:3" s="21" customFormat="1" x14ac:dyDescent="0.25">
      <c r="A32" s="6" t="s">
        <v>163</v>
      </c>
      <c r="B32" s="6" t="s">
        <v>162</v>
      </c>
      <c r="C32" s="24">
        <v>42343</v>
      </c>
    </row>
    <row r="33" spans="1:3" s="21" customFormat="1" x14ac:dyDescent="0.25">
      <c r="A33" s="6" t="s">
        <v>166</v>
      </c>
      <c r="B33" s="6" t="s">
        <v>167</v>
      </c>
      <c r="C33" s="24">
        <v>42350</v>
      </c>
    </row>
    <row r="34" spans="1:3" s="21" customFormat="1" x14ac:dyDescent="0.25">
      <c r="A34" s="6" t="s">
        <v>164</v>
      </c>
      <c r="B34" s="6" t="s">
        <v>165</v>
      </c>
      <c r="C34" s="24">
        <v>42351</v>
      </c>
    </row>
    <row r="35" spans="1:3" s="21" customFormat="1" x14ac:dyDescent="0.25">
      <c r="B35" s="25"/>
      <c r="C35" s="25"/>
    </row>
    <row r="36" spans="1:3" s="21" customFormat="1" x14ac:dyDescent="0.25">
      <c r="A36" s="19" t="s">
        <v>1</v>
      </c>
      <c r="B36" s="25"/>
      <c r="C36" s="25"/>
    </row>
    <row r="37" spans="1:3" s="21" customFormat="1" x14ac:dyDescent="0.25">
      <c r="A37" s="13" t="s">
        <v>23</v>
      </c>
      <c r="B37" s="6" t="s">
        <v>24</v>
      </c>
      <c r="C37" s="22"/>
    </row>
    <row r="38" spans="1:3" s="21" customFormat="1" x14ac:dyDescent="0.25">
      <c r="A38" s="13" t="s">
        <v>25</v>
      </c>
      <c r="B38" s="6" t="s">
        <v>26</v>
      </c>
      <c r="C38" s="22"/>
    </row>
    <row r="39" spans="1:3" s="21" customFormat="1" x14ac:dyDescent="0.25">
      <c r="A39" s="13" t="s">
        <v>27</v>
      </c>
      <c r="B39" s="6" t="s">
        <v>28</v>
      </c>
      <c r="C39" s="22"/>
    </row>
    <row r="40" spans="1:3" s="21" customFormat="1" ht="31.5" x14ac:dyDescent="0.25">
      <c r="A40" s="13" t="s">
        <v>48</v>
      </c>
      <c r="B40" s="6" t="s">
        <v>49</v>
      </c>
      <c r="C40" s="22"/>
    </row>
    <row r="41" spans="1:3" s="21" customFormat="1" x14ac:dyDescent="0.25">
      <c r="A41" s="13" t="s">
        <v>76</v>
      </c>
      <c r="B41" s="6" t="s">
        <v>77</v>
      </c>
      <c r="C41" s="22"/>
    </row>
    <row r="42" spans="1:3" s="21" customFormat="1" x14ac:dyDescent="0.25">
      <c r="A42" s="13" t="s">
        <v>91</v>
      </c>
      <c r="B42" s="6" t="s">
        <v>92</v>
      </c>
      <c r="C42" s="22"/>
    </row>
    <row r="43" spans="1:3" s="21" customFormat="1" x14ac:dyDescent="0.25">
      <c r="A43" s="13" t="s">
        <v>95</v>
      </c>
      <c r="B43" s="6" t="s">
        <v>96</v>
      </c>
      <c r="C43" s="22"/>
    </row>
    <row r="44" spans="1:3" s="21" customFormat="1" x14ac:dyDescent="0.25">
      <c r="A44" s="13" t="s">
        <v>115</v>
      </c>
      <c r="B44" s="6" t="s">
        <v>116</v>
      </c>
      <c r="C44" s="22"/>
    </row>
    <row r="45" spans="1:3" s="21" customFormat="1" x14ac:dyDescent="0.25">
      <c r="A45" s="13" t="s">
        <v>117</v>
      </c>
      <c r="B45" s="6" t="s">
        <v>118</v>
      </c>
      <c r="C45" s="22"/>
    </row>
    <row r="46" spans="1:3" s="21" customFormat="1" x14ac:dyDescent="0.25">
      <c r="A46" s="6" t="s">
        <v>136</v>
      </c>
      <c r="B46" s="6" t="s">
        <v>137</v>
      </c>
      <c r="C46" s="24">
        <v>42340</v>
      </c>
    </row>
    <row r="47" spans="1:3" s="21" customFormat="1" x14ac:dyDescent="0.25">
      <c r="A47" s="6"/>
      <c r="B47" s="6"/>
    </row>
    <row r="48" spans="1:3" s="21" customFormat="1" x14ac:dyDescent="0.25">
      <c r="A48" s="19" t="s">
        <v>2</v>
      </c>
      <c r="B48" s="25"/>
      <c r="C48" s="25"/>
    </row>
    <row r="49" spans="1:12" s="21" customFormat="1" x14ac:dyDescent="0.25">
      <c r="A49" s="13" t="s">
        <v>40</v>
      </c>
      <c r="B49" s="6" t="s">
        <v>41</v>
      </c>
      <c r="C49" s="22"/>
    </row>
    <row r="50" spans="1:12" s="21" customFormat="1" x14ac:dyDescent="0.25">
      <c r="A50" s="13" t="s">
        <v>64</v>
      </c>
      <c r="B50" s="6" t="s">
        <v>65</v>
      </c>
      <c r="C50" s="22"/>
    </row>
    <row r="51" spans="1:12" s="21" customFormat="1" x14ac:dyDescent="0.25">
      <c r="A51" s="13" t="s">
        <v>99</v>
      </c>
      <c r="B51" s="6" t="s">
        <v>100</v>
      </c>
      <c r="C51" s="22"/>
    </row>
    <row r="52" spans="1:12" s="21" customFormat="1" x14ac:dyDescent="0.25">
      <c r="A52" s="13" t="s">
        <v>103</v>
      </c>
      <c r="B52" s="6" t="s">
        <v>104</v>
      </c>
      <c r="C52" s="22"/>
    </row>
    <row r="53" spans="1:12" s="21" customFormat="1" ht="31.5" x14ac:dyDescent="0.25">
      <c r="A53" s="13" t="s">
        <v>113</v>
      </c>
      <c r="B53" s="6" t="s">
        <v>114</v>
      </c>
      <c r="C53" s="22"/>
    </row>
    <row r="54" spans="1:12" s="21" customFormat="1" ht="31.5" x14ac:dyDescent="0.25">
      <c r="A54" s="13" t="s">
        <v>119</v>
      </c>
      <c r="B54" s="6" t="s">
        <v>120</v>
      </c>
      <c r="C54" s="22"/>
    </row>
    <row r="55" spans="1:12" s="21" customFormat="1" x14ac:dyDescent="0.25">
      <c r="A55" s="6" t="s">
        <v>161</v>
      </c>
      <c r="B55" s="6" t="s">
        <v>162</v>
      </c>
      <c r="C55" s="24">
        <v>42344</v>
      </c>
    </row>
    <row r="56" spans="1:12" s="21" customFormat="1" x14ac:dyDescent="0.25"/>
    <row r="57" spans="1:12" s="21" customFormat="1" x14ac:dyDescent="0.25">
      <c r="A57" s="19" t="s">
        <v>18</v>
      </c>
      <c r="B57" s="25"/>
      <c r="C57" s="25"/>
    </row>
    <row r="58" spans="1:12" s="21" customFormat="1" ht="31.5" x14ac:dyDescent="0.25">
      <c r="A58" s="13" t="s">
        <v>29</v>
      </c>
      <c r="B58" s="6" t="s">
        <v>30</v>
      </c>
      <c r="C58" s="22"/>
      <c r="D58" s="21">
        <v>4</v>
      </c>
      <c r="E58" s="21">
        <v>5</v>
      </c>
      <c r="F58" s="21">
        <v>4</v>
      </c>
      <c r="G58" s="47">
        <v>5</v>
      </c>
      <c r="I58" s="21">
        <f>STANDARDIZE(D58,$I$1,$K$1)</f>
        <v>-2.5109649648979677</v>
      </c>
      <c r="J58" s="21">
        <f t="shared" ref="J58:L58" si="1">STANDARDIZE(E58,$I$1,$K$1)</f>
        <v>0.3905945500952408</v>
      </c>
      <c r="K58" s="21">
        <f t="shared" si="1"/>
        <v>-2.5109649648979677</v>
      </c>
      <c r="L58" s="21">
        <f t="shared" si="1"/>
        <v>0.3905945500952408</v>
      </c>
    </row>
    <row r="59" spans="1:12" s="21" customFormat="1" x14ac:dyDescent="0.25">
      <c r="A59" s="13" t="s">
        <v>66</v>
      </c>
      <c r="B59" s="6" t="s">
        <v>24</v>
      </c>
      <c r="C59" s="22"/>
      <c r="D59" s="21">
        <v>5</v>
      </c>
      <c r="E59" s="21">
        <v>5</v>
      </c>
      <c r="F59" s="21">
        <v>4</v>
      </c>
      <c r="G59" s="47">
        <v>5</v>
      </c>
      <c r="I59" s="21">
        <f t="shared" ref="I59:I70" si="2">STANDARDIZE(D59,$I$1,$K$1)</f>
        <v>0.3905945500952408</v>
      </c>
      <c r="J59" s="21">
        <f t="shared" ref="J59:J70" si="3">STANDARDIZE(E59,$I$1,$K$1)</f>
        <v>0.3905945500952408</v>
      </c>
      <c r="K59" s="21">
        <f t="shared" ref="K59:K70" si="4">STANDARDIZE(F59,$I$1,$K$1)</f>
        <v>-2.5109649648979677</v>
      </c>
      <c r="L59" s="21">
        <f t="shared" ref="L59:L70" si="5">STANDARDIZE(G59,$I$1,$K$1)</f>
        <v>0.3905945500952408</v>
      </c>
    </row>
    <row r="60" spans="1:12" s="65" customFormat="1" x14ac:dyDescent="0.25">
      <c r="A60" s="62" t="s">
        <v>67</v>
      </c>
      <c r="B60" s="63" t="s">
        <v>55</v>
      </c>
      <c r="C60" s="64"/>
      <c r="D60" s="65">
        <v>5</v>
      </c>
      <c r="E60" s="65">
        <v>5</v>
      </c>
      <c r="F60" s="65">
        <v>4</v>
      </c>
      <c r="G60" s="66">
        <v>5</v>
      </c>
      <c r="I60" s="21">
        <f t="shared" si="2"/>
        <v>0.3905945500952408</v>
      </c>
      <c r="J60" s="21">
        <f t="shared" si="3"/>
        <v>0.3905945500952408</v>
      </c>
      <c r="K60" s="21">
        <f t="shared" si="4"/>
        <v>-2.5109649648979677</v>
      </c>
      <c r="L60" s="21">
        <f t="shared" si="5"/>
        <v>0.3905945500952408</v>
      </c>
    </row>
    <row r="61" spans="1:12" s="21" customFormat="1" x14ac:dyDescent="0.25">
      <c r="A61" s="13" t="s">
        <v>89</v>
      </c>
      <c r="B61" s="6" t="s">
        <v>90</v>
      </c>
      <c r="C61" s="22"/>
      <c r="D61" s="47">
        <v>5</v>
      </c>
      <c r="E61" s="47">
        <v>5</v>
      </c>
      <c r="F61" s="47">
        <v>5</v>
      </c>
      <c r="G61" s="47">
        <v>5</v>
      </c>
      <c r="I61" s="21">
        <f t="shared" si="2"/>
        <v>0.3905945500952408</v>
      </c>
      <c r="J61" s="21">
        <f t="shared" si="3"/>
        <v>0.3905945500952408</v>
      </c>
      <c r="K61" s="21">
        <f t="shared" si="4"/>
        <v>0.3905945500952408</v>
      </c>
      <c r="L61" s="21">
        <f t="shared" si="5"/>
        <v>0.3905945500952408</v>
      </c>
    </row>
    <row r="62" spans="1:12" s="71" customFormat="1" x14ac:dyDescent="0.25">
      <c r="A62" s="67" t="s">
        <v>125</v>
      </c>
      <c r="B62" s="68" t="s">
        <v>126</v>
      </c>
      <c r="C62" s="69"/>
      <c r="D62" s="70">
        <v>5</v>
      </c>
      <c r="E62" s="70">
        <v>5</v>
      </c>
      <c r="F62" s="70">
        <v>5</v>
      </c>
      <c r="G62" s="70">
        <v>5</v>
      </c>
      <c r="I62" s="21">
        <f t="shared" si="2"/>
        <v>0.3905945500952408</v>
      </c>
      <c r="J62" s="21">
        <f t="shared" si="3"/>
        <v>0.3905945500952408</v>
      </c>
      <c r="K62" s="21">
        <f t="shared" si="4"/>
        <v>0.3905945500952408</v>
      </c>
      <c r="L62" s="21">
        <f t="shared" si="5"/>
        <v>0.3905945500952408</v>
      </c>
    </row>
    <row r="63" spans="1:12" s="21" customFormat="1" x14ac:dyDescent="0.25">
      <c r="A63" s="13" t="s">
        <v>127</v>
      </c>
      <c r="B63" s="6" t="s">
        <v>128</v>
      </c>
      <c r="C63" s="22"/>
      <c r="D63" s="47">
        <v>5</v>
      </c>
      <c r="E63" s="47">
        <v>5</v>
      </c>
      <c r="F63" s="47">
        <v>4</v>
      </c>
      <c r="G63" s="47">
        <v>5</v>
      </c>
      <c r="I63" s="21">
        <f t="shared" si="2"/>
        <v>0.3905945500952408</v>
      </c>
      <c r="J63" s="21">
        <f t="shared" si="3"/>
        <v>0.3905945500952408</v>
      </c>
      <c r="K63" s="21">
        <f t="shared" si="4"/>
        <v>-2.5109649648979677</v>
      </c>
      <c r="L63" s="21">
        <f t="shared" si="5"/>
        <v>0.3905945500952408</v>
      </c>
    </row>
    <row r="64" spans="1:12" s="21" customFormat="1" x14ac:dyDescent="0.25">
      <c r="A64" s="13" t="s">
        <v>129</v>
      </c>
      <c r="B64" s="6" t="s">
        <v>130</v>
      </c>
      <c r="C64" s="22"/>
      <c r="D64" s="47">
        <v>5</v>
      </c>
      <c r="E64" s="47">
        <v>5</v>
      </c>
      <c r="F64" s="47">
        <v>5</v>
      </c>
      <c r="G64" s="47">
        <v>5</v>
      </c>
      <c r="I64" s="21">
        <f t="shared" si="2"/>
        <v>0.3905945500952408</v>
      </c>
      <c r="J64" s="21">
        <f t="shared" si="3"/>
        <v>0.3905945500952408</v>
      </c>
      <c r="K64" s="21">
        <f t="shared" si="4"/>
        <v>0.3905945500952408</v>
      </c>
      <c r="L64" s="21">
        <f t="shared" si="5"/>
        <v>0.3905945500952408</v>
      </c>
    </row>
    <row r="65" spans="1:12" s="21" customFormat="1" x14ac:dyDescent="0.25">
      <c r="A65" s="6" t="s">
        <v>138</v>
      </c>
      <c r="B65" s="6" t="s">
        <v>139</v>
      </c>
      <c r="C65" s="24">
        <v>42349</v>
      </c>
      <c r="D65" s="47">
        <v>5</v>
      </c>
      <c r="E65" s="47">
        <v>5</v>
      </c>
      <c r="F65" s="47">
        <v>5</v>
      </c>
      <c r="G65" s="47">
        <v>5</v>
      </c>
      <c r="I65" s="21">
        <f t="shared" si="2"/>
        <v>0.3905945500952408</v>
      </c>
      <c r="J65" s="21">
        <f t="shared" si="3"/>
        <v>0.3905945500952408</v>
      </c>
      <c r="K65" s="21">
        <f t="shared" si="4"/>
        <v>0.3905945500952408</v>
      </c>
      <c r="L65" s="21">
        <f t="shared" si="5"/>
        <v>0.3905945500952408</v>
      </c>
    </row>
    <row r="66" spans="1:12" s="65" customFormat="1" x14ac:dyDescent="0.25">
      <c r="A66" s="63" t="s">
        <v>140</v>
      </c>
      <c r="B66" s="63" t="s">
        <v>141</v>
      </c>
      <c r="C66" s="64"/>
      <c r="D66" s="66">
        <v>5</v>
      </c>
      <c r="E66" s="66">
        <v>5</v>
      </c>
      <c r="F66" s="66">
        <v>5</v>
      </c>
      <c r="G66" s="66">
        <v>5</v>
      </c>
      <c r="I66" s="21">
        <f t="shared" si="2"/>
        <v>0.3905945500952408</v>
      </c>
      <c r="J66" s="21">
        <f t="shared" si="3"/>
        <v>0.3905945500952408</v>
      </c>
      <c r="K66" s="21">
        <f t="shared" si="4"/>
        <v>0.3905945500952408</v>
      </c>
      <c r="L66" s="21">
        <f t="shared" si="5"/>
        <v>0.3905945500952408</v>
      </c>
    </row>
    <row r="67" spans="1:12" s="21" customFormat="1" x14ac:dyDescent="0.25">
      <c r="A67" s="6" t="s">
        <v>151</v>
      </c>
      <c r="B67" s="6" t="s">
        <v>152</v>
      </c>
      <c r="C67" s="24">
        <v>42341</v>
      </c>
      <c r="D67" s="47">
        <v>5</v>
      </c>
      <c r="E67" s="47">
        <v>4</v>
      </c>
      <c r="F67" s="47">
        <v>5</v>
      </c>
      <c r="G67" s="47">
        <v>5</v>
      </c>
      <c r="I67" s="21">
        <f t="shared" si="2"/>
        <v>0.3905945500952408</v>
      </c>
      <c r="J67" s="21">
        <f t="shared" si="3"/>
        <v>-2.5109649648979677</v>
      </c>
      <c r="K67" s="21">
        <f t="shared" si="4"/>
        <v>0.3905945500952408</v>
      </c>
      <c r="L67" s="21">
        <f t="shared" si="5"/>
        <v>0.3905945500952408</v>
      </c>
    </row>
    <row r="68" spans="1:12" s="65" customFormat="1" x14ac:dyDescent="0.25">
      <c r="A68" s="63" t="s">
        <v>157</v>
      </c>
      <c r="B68" s="63" t="s">
        <v>158</v>
      </c>
      <c r="C68" s="72">
        <v>42341</v>
      </c>
      <c r="D68" s="66">
        <v>5</v>
      </c>
      <c r="E68" s="66">
        <v>5</v>
      </c>
      <c r="F68" s="66">
        <v>5</v>
      </c>
      <c r="G68" s="66">
        <v>5</v>
      </c>
      <c r="I68" s="21">
        <f t="shared" si="2"/>
        <v>0.3905945500952408</v>
      </c>
      <c r="J68" s="21">
        <f t="shared" si="3"/>
        <v>0.3905945500952408</v>
      </c>
      <c r="K68" s="21">
        <f t="shared" si="4"/>
        <v>0.3905945500952408</v>
      </c>
      <c r="L68" s="21">
        <f t="shared" si="5"/>
        <v>0.3905945500952408</v>
      </c>
    </row>
    <row r="69" spans="1:12" s="21" customFormat="1" x14ac:dyDescent="0.25">
      <c r="A69" s="6" t="s">
        <v>159</v>
      </c>
      <c r="B69" s="6" t="s">
        <v>160</v>
      </c>
      <c r="C69" s="24">
        <v>42346</v>
      </c>
      <c r="D69" s="47">
        <v>5</v>
      </c>
      <c r="E69" s="47">
        <v>4</v>
      </c>
      <c r="F69" s="47">
        <v>5</v>
      </c>
      <c r="G69" s="47">
        <v>5</v>
      </c>
      <c r="I69" s="21">
        <f t="shared" si="2"/>
        <v>0.3905945500952408</v>
      </c>
      <c r="J69" s="21">
        <f t="shared" si="3"/>
        <v>-2.5109649648979677</v>
      </c>
      <c r="K69" s="21">
        <f t="shared" si="4"/>
        <v>0.3905945500952408</v>
      </c>
      <c r="L69" s="21">
        <f t="shared" si="5"/>
        <v>0.3905945500952408</v>
      </c>
    </row>
    <row r="70" spans="1:12" s="21" customFormat="1" x14ac:dyDescent="0.25">
      <c r="A70" s="6" t="s">
        <v>168</v>
      </c>
      <c r="B70" s="6" t="s">
        <v>169</v>
      </c>
      <c r="C70" s="24">
        <v>42350</v>
      </c>
      <c r="D70" s="47">
        <v>5</v>
      </c>
      <c r="E70" s="47">
        <v>5</v>
      </c>
      <c r="F70" s="47">
        <v>5</v>
      </c>
      <c r="G70" s="47">
        <v>5</v>
      </c>
      <c r="I70" s="21">
        <f t="shared" si="2"/>
        <v>0.3905945500952408</v>
      </c>
      <c r="J70" s="21">
        <f t="shared" si="3"/>
        <v>0.3905945500952408</v>
      </c>
      <c r="K70" s="21">
        <f t="shared" si="4"/>
        <v>0.3905945500952408</v>
      </c>
      <c r="L70" s="21">
        <f t="shared" si="5"/>
        <v>0.3905945500952408</v>
      </c>
    </row>
    <row r="71" spans="1:12" s="21" customFormat="1" x14ac:dyDescent="0.25">
      <c r="A71" s="6"/>
      <c r="B71" s="6"/>
      <c r="C71" s="22"/>
    </row>
    <row r="72" spans="1:12" s="21" customFormat="1" x14ac:dyDescent="0.25">
      <c r="A72" s="19" t="s">
        <v>19</v>
      </c>
      <c r="B72" s="22"/>
      <c r="C72" s="22"/>
    </row>
    <row r="73" spans="1:12" s="21" customFormat="1" x14ac:dyDescent="0.25">
      <c r="A73" s="13" t="s">
        <v>46</v>
      </c>
      <c r="B73" s="6" t="s">
        <v>47</v>
      </c>
      <c r="C73" s="22"/>
    </row>
    <row r="74" spans="1:12" s="21" customFormat="1" x14ac:dyDescent="0.25">
      <c r="A74" s="6" t="s">
        <v>142</v>
      </c>
      <c r="B74" s="6" t="s">
        <v>143</v>
      </c>
      <c r="C74" s="24">
        <v>42342</v>
      </c>
    </row>
    <row r="75" spans="1:12" s="21" customFormat="1" x14ac:dyDescent="0.25">
      <c r="A75" s="6" t="s">
        <v>144</v>
      </c>
      <c r="B75" s="6" t="s">
        <v>55</v>
      </c>
      <c r="C75" s="24">
        <v>42344</v>
      </c>
    </row>
    <row r="76" spans="1:12" s="21" customFormat="1" x14ac:dyDescent="0.25">
      <c r="A76" s="6" t="s">
        <v>147</v>
      </c>
      <c r="B76" s="6" t="s">
        <v>148</v>
      </c>
      <c r="C76" s="24">
        <v>42347</v>
      </c>
    </row>
    <row r="77" spans="1:12" s="21" customFormat="1" x14ac:dyDescent="0.25">
      <c r="A77" s="6" t="s">
        <v>149</v>
      </c>
      <c r="B77" s="6" t="s">
        <v>150</v>
      </c>
      <c r="C77" s="24">
        <v>42346</v>
      </c>
    </row>
    <row r="78" spans="1:12" s="21" customFormat="1" x14ac:dyDescent="0.25">
      <c r="A78" s="6" t="s">
        <v>155</v>
      </c>
      <c r="B78" s="6" t="s">
        <v>156</v>
      </c>
      <c r="C78" s="24">
        <v>42348</v>
      </c>
    </row>
    <row r="79" spans="1:12" s="21" customFormat="1" x14ac:dyDescent="0.25">
      <c r="A79" s="22"/>
      <c r="B79" s="22"/>
      <c r="C79" s="22"/>
    </row>
    <row r="80" spans="1:12" s="21" customFormat="1" x14ac:dyDescent="0.25">
      <c r="A80" s="19" t="s">
        <v>20</v>
      </c>
      <c r="B80" s="22"/>
      <c r="C80" s="22"/>
    </row>
    <row r="81" spans="1:7" s="21" customFormat="1" x14ac:dyDescent="0.25">
      <c r="A81" s="13" t="s">
        <v>34</v>
      </c>
      <c r="B81" s="6" t="s">
        <v>35</v>
      </c>
      <c r="C81" s="22"/>
    </row>
    <row r="82" spans="1:7" s="21" customFormat="1" x14ac:dyDescent="0.25">
      <c r="A82" s="13" t="s">
        <v>52</v>
      </c>
      <c r="B82" s="6" t="s">
        <v>53</v>
      </c>
      <c r="C82" s="22"/>
    </row>
    <row r="83" spans="1:7" s="21" customFormat="1" x14ac:dyDescent="0.25">
      <c r="A83" s="13" t="s">
        <v>58</v>
      </c>
      <c r="B83" s="6" t="s">
        <v>59</v>
      </c>
      <c r="C83" s="22"/>
    </row>
    <row r="84" spans="1:7" s="21" customFormat="1" x14ac:dyDescent="0.25">
      <c r="A84" s="13" t="s">
        <v>62</v>
      </c>
      <c r="B84" s="6" t="s">
        <v>63</v>
      </c>
      <c r="C84" s="22"/>
    </row>
    <row r="85" spans="1:7" s="21" customFormat="1" x14ac:dyDescent="0.25">
      <c r="A85" s="13" t="s">
        <v>68</v>
      </c>
      <c r="B85" s="6" t="s">
        <v>69</v>
      </c>
      <c r="C85" s="22"/>
    </row>
    <row r="86" spans="1:7" s="21" customFormat="1" x14ac:dyDescent="0.25">
      <c r="A86" s="13" t="s">
        <v>72</v>
      </c>
      <c r="B86" s="6" t="s">
        <v>73</v>
      </c>
      <c r="C86" s="22"/>
    </row>
    <row r="87" spans="1:7" s="21" customFormat="1" x14ac:dyDescent="0.25">
      <c r="A87" s="13" t="s">
        <v>74</v>
      </c>
      <c r="B87" s="6" t="s">
        <v>75</v>
      </c>
      <c r="C87" s="22"/>
    </row>
    <row r="88" spans="1:7" s="21" customFormat="1" x14ac:dyDescent="0.25">
      <c r="A88" s="13" t="s">
        <v>83</v>
      </c>
      <c r="B88" s="6" t="s">
        <v>84</v>
      </c>
      <c r="C88" s="22"/>
    </row>
    <row r="89" spans="1:7" s="21" customFormat="1" x14ac:dyDescent="0.25">
      <c r="A89" s="13" t="s">
        <v>87</v>
      </c>
      <c r="B89" s="6" t="s">
        <v>88</v>
      </c>
      <c r="C89" s="22"/>
    </row>
    <row r="90" spans="1:7" s="21" customFormat="1" x14ac:dyDescent="0.25">
      <c r="A90" s="13" t="s">
        <v>93</v>
      </c>
      <c r="B90" s="6" t="s">
        <v>94</v>
      </c>
      <c r="C90" s="22"/>
    </row>
    <row r="91" spans="1:7" s="21" customFormat="1" x14ac:dyDescent="0.25">
      <c r="A91" s="13" t="s">
        <v>105</v>
      </c>
      <c r="B91" s="6" t="s">
        <v>106</v>
      </c>
      <c r="C91" s="22"/>
    </row>
    <row r="92" spans="1:7" s="21" customFormat="1" x14ac:dyDescent="0.25">
      <c r="A92" s="6" t="s">
        <v>131</v>
      </c>
      <c r="B92" s="6" t="s">
        <v>57</v>
      </c>
      <c r="C92" s="22"/>
    </row>
    <row r="93" spans="1:7" s="21" customFormat="1" x14ac:dyDescent="0.25">
      <c r="A93" s="6" t="s">
        <v>132</v>
      </c>
      <c r="B93" s="6" t="s">
        <v>133</v>
      </c>
      <c r="C93" s="22"/>
    </row>
    <row r="94" spans="1:7" s="21" customFormat="1" x14ac:dyDescent="0.25"/>
    <row r="95" spans="1:7" x14ac:dyDescent="0.25">
      <c r="A95" s="8" t="s">
        <v>8</v>
      </c>
      <c r="B95" s="9"/>
      <c r="C95" s="26"/>
      <c r="D95" s="9"/>
      <c r="E95" s="9"/>
      <c r="F95" s="9"/>
      <c r="G95" s="9"/>
    </row>
    <row r="96" spans="1:7" x14ac:dyDescent="0.25">
      <c r="A96" s="5" t="s">
        <v>9</v>
      </c>
      <c r="C96" s="21"/>
    </row>
    <row r="97" spans="1:3" x14ac:dyDescent="0.25">
      <c r="A97" s="5" t="s">
        <v>10</v>
      </c>
      <c r="C97" s="21"/>
    </row>
    <row r="98" spans="1:3" x14ac:dyDescent="0.25">
      <c r="A98" s="5" t="s">
        <v>11</v>
      </c>
      <c r="C98" s="21"/>
    </row>
    <row r="99" spans="1:3" x14ac:dyDescent="0.25">
      <c r="A99" s="5" t="s">
        <v>12</v>
      </c>
      <c r="C99" s="21"/>
    </row>
    <row r="100" spans="1:3" x14ac:dyDescent="0.25">
      <c r="A100" s="5" t="s">
        <v>13</v>
      </c>
      <c r="C100" s="21"/>
    </row>
    <row r="101" spans="1:3" x14ac:dyDescent="0.25">
      <c r="C101" s="21"/>
    </row>
    <row r="102" spans="1:3" x14ac:dyDescent="0.25">
      <c r="C102" s="21"/>
    </row>
    <row r="103" spans="1:3" x14ac:dyDescent="0.25">
      <c r="C103" s="21"/>
    </row>
    <row r="104" spans="1:3" x14ac:dyDescent="0.25">
      <c r="C104" s="21"/>
    </row>
    <row r="105" spans="1:3" x14ac:dyDescent="0.25">
      <c r="C105" s="21"/>
    </row>
    <row r="106" spans="1:3" x14ac:dyDescent="0.25">
      <c r="C106" s="21"/>
    </row>
    <row r="107" spans="1:3" x14ac:dyDescent="0.25">
      <c r="C107" s="21"/>
    </row>
    <row r="108" spans="1:3" x14ac:dyDescent="0.25">
      <c r="C108" s="21"/>
    </row>
    <row r="109" spans="1:3" x14ac:dyDescent="0.25">
      <c r="C109" s="21"/>
    </row>
    <row r="110" spans="1:3" x14ac:dyDescent="0.25">
      <c r="C110" s="21"/>
    </row>
    <row r="111" spans="1:3" x14ac:dyDescent="0.25">
      <c r="C111" s="21"/>
    </row>
    <row r="112" spans="1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  <row r="200" spans="3:3" x14ac:dyDescent="0.25">
      <c r="C200" s="21"/>
    </row>
    <row r="201" spans="3:3" x14ac:dyDescent="0.25">
      <c r="C201" s="21"/>
    </row>
    <row r="202" spans="3:3" x14ac:dyDescent="0.25">
      <c r="C202" s="21"/>
    </row>
    <row r="203" spans="3:3" x14ac:dyDescent="0.25">
      <c r="C203" s="21"/>
    </row>
    <row r="204" spans="3:3" x14ac:dyDescent="0.25">
      <c r="C204" s="21"/>
    </row>
    <row r="205" spans="3:3" x14ac:dyDescent="0.25">
      <c r="C205" s="21"/>
    </row>
    <row r="206" spans="3:3" x14ac:dyDescent="0.25">
      <c r="C206" s="21"/>
    </row>
    <row r="207" spans="3:3" x14ac:dyDescent="0.25">
      <c r="C207" s="21"/>
    </row>
    <row r="208" spans="3:3" x14ac:dyDescent="0.25">
      <c r="C208" s="21"/>
    </row>
    <row r="209" spans="3:3" x14ac:dyDescent="0.25">
      <c r="C209" s="21"/>
    </row>
    <row r="210" spans="3:3" x14ac:dyDescent="0.25">
      <c r="C210" s="21"/>
    </row>
    <row r="211" spans="3:3" x14ac:dyDescent="0.25">
      <c r="C211" s="21"/>
    </row>
    <row r="212" spans="3:3" x14ac:dyDescent="0.25">
      <c r="C212" s="21"/>
    </row>
    <row r="213" spans="3:3" x14ac:dyDescent="0.25">
      <c r="C213" s="21"/>
    </row>
    <row r="214" spans="3:3" x14ac:dyDescent="0.25">
      <c r="C214" s="21"/>
    </row>
    <row r="215" spans="3:3" x14ac:dyDescent="0.25">
      <c r="C215" s="21"/>
    </row>
    <row r="216" spans="3:3" x14ac:dyDescent="0.25">
      <c r="C216" s="21"/>
    </row>
    <row r="217" spans="3:3" x14ac:dyDescent="0.25">
      <c r="C217" s="21"/>
    </row>
    <row r="218" spans="3:3" x14ac:dyDescent="0.25">
      <c r="C218" s="21"/>
    </row>
    <row r="219" spans="3:3" x14ac:dyDescent="0.25">
      <c r="C219" s="21"/>
    </row>
    <row r="220" spans="3:3" x14ac:dyDescent="0.25">
      <c r="C220" s="21"/>
    </row>
    <row r="221" spans="3:3" x14ac:dyDescent="0.25">
      <c r="C221" s="21"/>
    </row>
    <row r="222" spans="3:3" x14ac:dyDescent="0.25">
      <c r="C222" s="21"/>
    </row>
    <row r="223" spans="3:3" x14ac:dyDescent="0.25">
      <c r="C223" s="21"/>
    </row>
    <row r="224" spans="3:3" x14ac:dyDescent="0.25">
      <c r="C224" s="21"/>
    </row>
    <row r="225" spans="3:3" x14ac:dyDescent="0.25">
      <c r="C225" s="21"/>
    </row>
    <row r="226" spans="3:3" x14ac:dyDescent="0.25">
      <c r="C226" s="21"/>
    </row>
    <row r="227" spans="3:3" x14ac:dyDescent="0.25">
      <c r="C227" s="21"/>
    </row>
    <row r="228" spans="3:3" x14ac:dyDescent="0.25">
      <c r="C228" s="21"/>
    </row>
    <row r="229" spans="3:3" x14ac:dyDescent="0.25">
      <c r="C229" s="21"/>
    </row>
    <row r="230" spans="3:3" x14ac:dyDescent="0.25">
      <c r="C230" s="21"/>
    </row>
    <row r="231" spans="3:3" x14ac:dyDescent="0.25">
      <c r="C231" s="21"/>
    </row>
    <row r="232" spans="3:3" x14ac:dyDescent="0.25">
      <c r="C232" s="21"/>
    </row>
    <row r="233" spans="3:3" x14ac:dyDescent="0.25">
      <c r="C233" s="21"/>
    </row>
    <row r="234" spans="3:3" x14ac:dyDescent="0.25">
      <c r="C234" s="21"/>
    </row>
    <row r="235" spans="3:3" x14ac:dyDescent="0.25">
      <c r="C235" s="21"/>
    </row>
    <row r="236" spans="3:3" x14ac:dyDescent="0.25">
      <c r="C236" s="21"/>
    </row>
    <row r="237" spans="3:3" x14ac:dyDescent="0.25">
      <c r="C237" s="21"/>
    </row>
    <row r="238" spans="3:3" x14ac:dyDescent="0.25">
      <c r="C238" s="21"/>
    </row>
    <row r="239" spans="3:3" x14ac:dyDescent="0.25">
      <c r="C239" s="21"/>
    </row>
    <row r="240" spans="3:3" x14ac:dyDescent="0.25">
      <c r="C240" s="21"/>
    </row>
    <row r="241" spans="3:3" x14ac:dyDescent="0.25">
      <c r="C241" s="21"/>
    </row>
    <row r="242" spans="3:3" x14ac:dyDescent="0.25">
      <c r="C242" s="21"/>
    </row>
    <row r="243" spans="3:3" x14ac:dyDescent="0.25">
      <c r="C243" s="21"/>
    </row>
    <row r="244" spans="3:3" x14ac:dyDescent="0.25">
      <c r="C244" s="21"/>
    </row>
    <row r="245" spans="3:3" x14ac:dyDescent="0.25">
      <c r="C245" s="21"/>
    </row>
    <row r="246" spans="3:3" x14ac:dyDescent="0.25">
      <c r="C246" s="21"/>
    </row>
    <row r="247" spans="3:3" x14ac:dyDescent="0.25">
      <c r="C247" s="21"/>
    </row>
    <row r="248" spans="3:3" x14ac:dyDescent="0.25">
      <c r="C248" s="21"/>
    </row>
    <row r="249" spans="3:3" x14ac:dyDescent="0.25">
      <c r="C249" s="21"/>
    </row>
    <row r="250" spans="3:3" x14ac:dyDescent="0.25">
      <c r="C250" s="21"/>
    </row>
    <row r="251" spans="3:3" x14ac:dyDescent="0.25">
      <c r="C251" s="21"/>
    </row>
    <row r="252" spans="3:3" x14ac:dyDescent="0.25">
      <c r="C252" s="21"/>
    </row>
    <row r="253" spans="3:3" x14ac:dyDescent="0.25">
      <c r="C253" s="21"/>
    </row>
    <row r="254" spans="3:3" x14ac:dyDescent="0.25">
      <c r="C254" s="21"/>
    </row>
    <row r="255" spans="3:3" x14ac:dyDescent="0.25">
      <c r="C255" s="21"/>
    </row>
    <row r="256" spans="3:3" x14ac:dyDescent="0.25">
      <c r="C256" s="21"/>
    </row>
    <row r="257" spans="3:3" x14ac:dyDescent="0.25">
      <c r="C257" s="21"/>
    </row>
    <row r="258" spans="3:3" x14ac:dyDescent="0.25">
      <c r="C258" s="21"/>
    </row>
    <row r="259" spans="3:3" x14ac:dyDescent="0.25">
      <c r="C259" s="21"/>
    </row>
    <row r="260" spans="3:3" x14ac:dyDescent="0.25">
      <c r="C260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5" spans="3:3" x14ac:dyDescent="0.25">
      <c r="C265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69" spans="3:3" x14ac:dyDescent="0.25">
      <c r="C269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6" spans="3:3" x14ac:dyDescent="0.25">
      <c r="C286" s="21"/>
    </row>
    <row r="287" spans="3:3" x14ac:dyDescent="0.25">
      <c r="C287" s="21"/>
    </row>
    <row r="288" spans="3:3" x14ac:dyDescent="0.25">
      <c r="C288" s="21"/>
    </row>
    <row r="289" spans="3:3" x14ac:dyDescent="0.25">
      <c r="C289" s="21"/>
    </row>
    <row r="290" spans="3:3" x14ac:dyDescent="0.25">
      <c r="C290" s="21"/>
    </row>
    <row r="291" spans="3:3" x14ac:dyDescent="0.25">
      <c r="C291" s="21"/>
    </row>
    <row r="292" spans="3:3" x14ac:dyDescent="0.25">
      <c r="C292" s="21"/>
    </row>
    <row r="293" spans="3:3" x14ac:dyDescent="0.25">
      <c r="C293" s="21"/>
    </row>
    <row r="294" spans="3:3" x14ac:dyDescent="0.25">
      <c r="C294" s="21"/>
    </row>
    <row r="295" spans="3:3" x14ac:dyDescent="0.25">
      <c r="C295" s="21"/>
    </row>
    <row r="296" spans="3:3" x14ac:dyDescent="0.25">
      <c r="C296" s="21"/>
    </row>
    <row r="297" spans="3:3" x14ac:dyDescent="0.25">
      <c r="C297" s="21"/>
    </row>
    <row r="298" spans="3:3" x14ac:dyDescent="0.25">
      <c r="C298" s="21"/>
    </row>
    <row r="299" spans="3:3" x14ac:dyDescent="0.25">
      <c r="C299" s="21"/>
    </row>
    <row r="300" spans="3:3" x14ac:dyDescent="0.25">
      <c r="C300" s="21"/>
    </row>
    <row r="301" spans="3:3" x14ac:dyDescent="0.25">
      <c r="C301" s="21"/>
    </row>
    <row r="302" spans="3:3" x14ac:dyDescent="0.25">
      <c r="C302" s="21"/>
    </row>
    <row r="303" spans="3:3" x14ac:dyDescent="0.25">
      <c r="C303" s="21"/>
    </row>
    <row r="304" spans="3:3" x14ac:dyDescent="0.25">
      <c r="C304" s="21"/>
    </row>
    <row r="305" spans="3:3" x14ac:dyDescent="0.25">
      <c r="C305" s="21"/>
    </row>
    <row r="306" spans="3:3" x14ac:dyDescent="0.25">
      <c r="C306" s="21"/>
    </row>
    <row r="307" spans="3:3" x14ac:dyDescent="0.25">
      <c r="C307" s="21"/>
    </row>
    <row r="308" spans="3:3" x14ac:dyDescent="0.25">
      <c r="C308" s="21"/>
    </row>
    <row r="309" spans="3:3" x14ac:dyDescent="0.25">
      <c r="C309" s="21"/>
    </row>
    <row r="310" spans="3:3" x14ac:dyDescent="0.25">
      <c r="C310" s="21"/>
    </row>
    <row r="311" spans="3:3" x14ac:dyDescent="0.25">
      <c r="C311" s="21"/>
    </row>
    <row r="312" spans="3:3" x14ac:dyDescent="0.25">
      <c r="C312" s="21"/>
    </row>
    <row r="313" spans="3:3" x14ac:dyDescent="0.25">
      <c r="C313" s="21"/>
    </row>
    <row r="314" spans="3:3" x14ac:dyDescent="0.25">
      <c r="C314" s="21"/>
    </row>
    <row r="315" spans="3:3" x14ac:dyDescent="0.25">
      <c r="C315" s="21"/>
    </row>
    <row r="316" spans="3:3" x14ac:dyDescent="0.25">
      <c r="C316" s="21"/>
    </row>
    <row r="317" spans="3:3" x14ac:dyDescent="0.25">
      <c r="C317" s="21"/>
    </row>
    <row r="318" spans="3:3" x14ac:dyDescent="0.25">
      <c r="C318" s="21"/>
    </row>
    <row r="319" spans="3:3" x14ac:dyDescent="0.25">
      <c r="C319" s="21"/>
    </row>
  </sheetData>
  <mergeCells count="8">
    <mergeCell ref="I2:L2"/>
    <mergeCell ref="B1:G1"/>
    <mergeCell ref="D2:G2"/>
    <mergeCell ref="C7:C8"/>
    <mergeCell ref="D7:D8"/>
    <mergeCell ref="E7:E8"/>
    <mergeCell ref="F7:F8"/>
    <mergeCell ref="G7:G8"/>
  </mergeCells>
  <hyperlinks>
    <hyperlink ref="B6" r:id="rId1" display="http://biomolecula.ru/authors/4319"/>
    <hyperlink ref="A6" r:id="rId2" display="http://biomolecula.ru/content/1708"/>
    <hyperlink ref="A37" r:id="rId3" display="http://biomolecula.ru/content/1719"/>
    <hyperlink ref="B37" r:id="rId4" display="http://biomolecula.ru/authors/3680"/>
    <hyperlink ref="A38" r:id="rId5" display="http://biomolecula.ru/content/1725"/>
    <hyperlink ref="B38" r:id="rId6" display="http://biomolecula.ru/authors/4652"/>
    <hyperlink ref="B39" r:id="rId7" display="http://biomolecula.ru/authors/4602"/>
    <hyperlink ref="A39" r:id="rId8" display="http://biomolecula.ru/content/1732"/>
    <hyperlink ref="A58" r:id="rId9" display="http://biomolecula.ru/content/1736"/>
    <hyperlink ref="B58" r:id="rId10" display="http://biomolecula.ru/authors/4693"/>
    <hyperlink ref="A7" r:id="rId11" display="http://biomolecula.ru/content/1741"/>
    <hyperlink ref="B7" r:id="rId12" display="http://biomolecula.ru/authors/3893"/>
    <hyperlink ref="B8" r:id="rId13" display="http://biomolecula.ru/authors/3893"/>
    <hyperlink ref="A8" r:id="rId14" display="http://biomolecula.ru/content/1742"/>
    <hyperlink ref="A81" r:id="rId15" display="http://biomolecula.ru/content/1747"/>
    <hyperlink ref="B81" r:id="rId16" display="http://biomolecula.ru/authors/4684"/>
    <hyperlink ref="A9" r:id="rId17" display="http://biomolecula.ru/content/1750"/>
    <hyperlink ref="B9" r:id="rId18" display="http://biomolecula.ru/authors/4728"/>
    <hyperlink ref="A10" r:id="rId19" display="http://biomolecula.ru/content/1751"/>
    <hyperlink ref="B10" r:id="rId20" display="http://biomolecula.ru/authors/4736"/>
    <hyperlink ref="A49" r:id="rId21" display="http://biomolecula.ru/content/1755"/>
    <hyperlink ref="B49" r:id="rId22" display="http://biomolecula.ru/authors/4699"/>
    <hyperlink ref="A11" r:id="rId23" display="http://biomolecula.ru/content/1756"/>
    <hyperlink ref="B11" r:id="rId24" display="http://biomolecula.ru/authors/4682"/>
    <hyperlink ref="A12" r:id="rId25" display="http://biomolecula.ru/content/1762"/>
    <hyperlink ref="B12" r:id="rId26" display="http://biomolecula.ru/authors/4735"/>
    <hyperlink ref="A73" r:id="rId27" display="http://biomolecula.ru/content/1769"/>
    <hyperlink ref="B73" r:id="rId28" display="http://biomolecula.ru/authors/1843"/>
    <hyperlink ref="A40" r:id="rId29" display="http://biomolecula.ru/content/1770"/>
    <hyperlink ref="B40" r:id="rId30" display="http://biomolecula.ru/authors/4518"/>
    <hyperlink ref="A13" r:id="rId31" display="http://biomolecula.ru/content/1771"/>
    <hyperlink ref="B13" r:id="rId32" display="http://biomolecula.ru/authors/3877"/>
    <hyperlink ref="A82" r:id="rId33" display="http://biomolecula.ru/content/1773"/>
    <hyperlink ref="B82" r:id="rId34" display="http://biomolecula.ru/authors/4675"/>
    <hyperlink ref="A14" r:id="rId35" display="http://biomolecula.ru/content/1777"/>
    <hyperlink ref="B14" r:id="rId36" display="http://biomolecula.ru/authors/4714"/>
    <hyperlink ref="A15" r:id="rId37" display="http://biomolecula.ru/content/1778"/>
    <hyperlink ref="B15" r:id="rId38" display="http://biomolecula.ru/authors/4791"/>
    <hyperlink ref="A83" r:id="rId39" display="http://biomolecula.ru/content/1782"/>
    <hyperlink ref="B83" r:id="rId40" display="http://biomolecula.ru/authors/4787"/>
    <hyperlink ref="A16" r:id="rId41" display="http://biomolecula.ru/content/1784"/>
    <hyperlink ref="B16" r:id="rId42" display="http://biomolecula.ru/authors/4277"/>
    <hyperlink ref="A84" r:id="rId43" display="http://biomolecula.ru/content/1779"/>
    <hyperlink ref="B84" r:id="rId44" display="http://biomolecula.ru/authors/4845"/>
    <hyperlink ref="A50" r:id="rId45" display="http://biomolecula.ru/content/1785"/>
    <hyperlink ref="B50" r:id="rId46" display="http://biomolecula.ru/authors/2833"/>
    <hyperlink ref="A59" r:id="rId47" display="http://biomolecula.ru/content/1786"/>
    <hyperlink ref="B59" r:id="rId48" display="http://biomolecula.ru/authors/3680"/>
    <hyperlink ref="A60" r:id="rId49" display="http://biomolecula.ru/content/1787"/>
    <hyperlink ref="B60" r:id="rId50" display="http://biomolecula.ru/authors/4714"/>
    <hyperlink ref="A85" r:id="rId51" display="http://biomolecula.ru/content/1783"/>
    <hyperlink ref="B85" r:id="rId52" display="http://biomolecula.ru/authors/4824"/>
    <hyperlink ref="A17" r:id="rId53" display="http://biomolecula.ru/content/1789"/>
    <hyperlink ref="B17" r:id="rId54" display="http://biomolecula.ru/authors/4712"/>
    <hyperlink ref="A86" r:id="rId55" display="http://biomolecula.ru/content/1790"/>
    <hyperlink ref="B86" r:id="rId56" display="http://biomolecula.ru/authors/4800"/>
    <hyperlink ref="A87" r:id="rId57" display="http://biomolecula.ru/content/1812"/>
    <hyperlink ref="B87" r:id="rId58" display="http://biomolecula.ru/authors/4857"/>
    <hyperlink ref="A41" r:id="rId59" display="http://biomolecula.ru/content/1791"/>
    <hyperlink ref="B41" r:id="rId60" display="http://biomolecula.ru/authors/4798"/>
    <hyperlink ref="A18" r:id="rId61" display="http://biomolecula.ru/content/1792"/>
    <hyperlink ref="B18" r:id="rId62" display="http://biomolecula.ru/authors/4675"/>
    <hyperlink ref="A19" r:id="rId63" display="http://biomolecula.ru/content/1814"/>
    <hyperlink ref="B19" r:id="rId64" display="http://biomolecula.ru/authors/4828"/>
    <hyperlink ref="A20" r:id="rId65" display="http://biomolecula.ru/content/1793"/>
    <hyperlink ref="B20" r:id="rId66" display="http://biomolecula.ru/authors/4794"/>
    <hyperlink ref="A88" r:id="rId67" display="http://biomolecula.ru/content/1794"/>
    <hyperlink ref="B88" r:id="rId68" display="http://biomolecula.ru/authors/4830"/>
    <hyperlink ref="A21" r:id="rId69" display="http://biomolecula.ru/content/1795"/>
    <hyperlink ref="B21" r:id="rId70" display="http://biomolecula.ru/authors/4776"/>
    <hyperlink ref="A89" r:id="rId71" display="http://biomolecula.ru/content/1797"/>
    <hyperlink ref="B89" r:id="rId72" display="http://biomolecula.ru/authors/4843"/>
    <hyperlink ref="A61" r:id="rId73" display="http://biomolecula.ru/content/1816"/>
    <hyperlink ref="B61" r:id="rId74" display="http://biomolecula.ru/authors/4269"/>
    <hyperlink ref="A42" r:id="rId75" display="http://biomolecula.ru/content/1796"/>
    <hyperlink ref="B42" r:id="rId76" display="http://biomolecula.ru/authors/3718"/>
    <hyperlink ref="A90" r:id="rId77" display="http://biomolecula.ru/content/1817"/>
    <hyperlink ref="B90" r:id="rId78" display="http://biomolecula.ru/authors/4842"/>
    <hyperlink ref="A43" r:id="rId79" display="http://biomolecula.ru/content/1818"/>
    <hyperlink ref="B43" r:id="rId80" display="http://biomolecula.ru/authors/4802"/>
    <hyperlink ref="A22" r:id="rId81" display="http://biomolecula.ru/content/1798"/>
    <hyperlink ref="B22" r:id="rId82" display="http://biomolecula.ru/authors/4755"/>
    <hyperlink ref="A51" r:id="rId83" display="http://biomolecula.ru/content/1819"/>
    <hyperlink ref="B51" r:id="rId84" display="http://biomolecula.ru/authors/4657"/>
    <hyperlink ref="A23" r:id="rId85" display="http://biomolecula.ru/content/1821"/>
    <hyperlink ref="B23" r:id="rId86" display="http://biomolecula.ru/authors/3833"/>
    <hyperlink ref="A52" r:id="rId87" display="http://biomolecula.ru/content/1799"/>
    <hyperlink ref="B52" r:id="rId88" display="http://biomolecula.ru/authors/4790"/>
    <hyperlink ref="A91" r:id="rId89" display="http://biomolecula.ru/content/1800"/>
    <hyperlink ref="B91" r:id="rId90" display="http://biomolecula.ru/authors/4793"/>
    <hyperlink ref="A24" r:id="rId91" display="http://biomolecula.ru/content/1822"/>
    <hyperlink ref="B24" r:id="rId92" display="http://biomolecula.ru/authors/4812"/>
    <hyperlink ref="A25" r:id="rId93" display="http://biomolecula.ru/content/1823"/>
    <hyperlink ref="B25" r:id="rId94" display="http://biomolecula.ru/authors/4789"/>
    <hyperlink ref="A26" r:id="rId95" display="http://biomolecula.ru/content/1801"/>
    <hyperlink ref="B26" r:id="rId96" display="http://biomolecula.ru/authors/4817"/>
    <hyperlink ref="A53" r:id="rId97" display="http://biomolecula.ru/content/1825"/>
    <hyperlink ref="B53" r:id="rId98" display="http://biomolecula.ru/authors/4846"/>
    <hyperlink ref="A44" r:id="rId99" display="http://biomolecula.ru/content/1802"/>
    <hyperlink ref="B44" r:id="rId100" display="http://biomolecula.ru/authors/4762"/>
    <hyperlink ref="A45" r:id="rId101" display="http://biomolecula.ru/content/1803"/>
    <hyperlink ref="B45" r:id="rId102" display="http://biomolecula.ru/authors/4354"/>
    <hyperlink ref="A54" r:id="rId103" display="http://biomolecula.ru/content/1826"/>
    <hyperlink ref="B54" r:id="rId104" display="http://biomolecula.ru/authors/4797"/>
    <hyperlink ref="A27" r:id="rId105" display="http://biomolecula.ru/content/1827"/>
    <hyperlink ref="B27" r:id="rId106" display="http://biomolecula.ru/authors/4822"/>
    <hyperlink ref="A28" r:id="rId107" display="http://biomolecula.ru/content/1804"/>
    <hyperlink ref="B28" r:id="rId108" display="http://biomolecula.ru/authors/4809"/>
    <hyperlink ref="A62" r:id="rId109" display="http://biomolecula.ru/content/1828"/>
    <hyperlink ref="B62" r:id="rId110" display="http://biomolecula.ru/authors/4805"/>
    <hyperlink ref="A63" r:id="rId111" display="http://biomolecula.ru/content/1830"/>
    <hyperlink ref="B63" r:id="rId112" display="http://biomolecula.ru/authors/4844"/>
    <hyperlink ref="A64" r:id="rId113" display="http://biomolecula.ru/content/1805"/>
    <hyperlink ref="B64" r:id="rId114" display="http://biomolecula.ru/authors/2050"/>
    <hyperlink ref="A92" r:id="rId115" display="http://biomolecula.ru/content/1806"/>
    <hyperlink ref="B92" r:id="rId116" display="http://biomolecula.ru/authors/4791"/>
    <hyperlink ref="A93" r:id="rId117" display="http://biomolecula.ru/content/1807"/>
    <hyperlink ref="B93" r:id="rId118" display="http://biomolecula.ru/authors/3109"/>
    <hyperlink ref="A29" r:id="rId119" display="http://biomolecula.ru/content/1808"/>
    <hyperlink ref="B29" r:id="rId120" display="http://biomolecula.ru/authors/4732"/>
    <hyperlink ref="A46" r:id="rId121" display="http://biomolecula.ru/content/1809"/>
    <hyperlink ref="B46" r:id="rId122" display="http://biomolecula.ru/authors/4840"/>
    <hyperlink ref="A65" r:id="rId123" display="http://biomolecula.ru/content/1810"/>
    <hyperlink ref="A66" r:id="rId124" display="http://biomolecula.ru/content/1832"/>
    <hyperlink ref="B66" r:id="rId125" display="http://biomolecula.ru/authors/2759"/>
    <hyperlink ref="A74" r:id="rId126" display="http://biomolecula.ru/content/1833"/>
    <hyperlink ref="B74" r:id="rId127" display="http://biomolecula.ru/authors/4265"/>
    <hyperlink ref="A75" r:id="rId128" display="http://biomolecula.ru/content/1834"/>
    <hyperlink ref="B75" r:id="rId129" display="http://biomolecula.ru/authors/4714"/>
    <hyperlink ref="A30" r:id="rId130" display="http://biomolecula.ru/content/1835"/>
    <hyperlink ref="B30" r:id="rId131" display="http://biomolecula.ru/authors/4775"/>
    <hyperlink ref="B65" r:id="rId132" display="http://biomolecula.ru/authors/4849"/>
    <hyperlink ref="A76" r:id="rId133" display="http://biomolecula.ru/content/1836"/>
    <hyperlink ref="B76" r:id="rId134" display="http://biomolecula.ru/authors/4815"/>
    <hyperlink ref="A77" r:id="rId135" display="http://biomolecula.ru/content/1837"/>
    <hyperlink ref="B77" r:id="rId136" display="http://biomolecula.ru/authors/4779"/>
    <hyperlink ref="A67" r:id="rId137" display="http://biomolecula.ru/content/1838"/>
    <hyperlink ref="B67" r:id="rId138" display="http://biomolecula.ru/authors/4637"/>
    <hyperlink ref="A31" r:id="rId139" display="http://biomolecula.ru/content/1839"/>
    <hyperlink ref="B31" r:id="rId140" display="http://biomolecula.ru/authors/4339"/>
    <hyperlink ref="A78" r:id="rId141" display="http://biomolecula.ru/content/1840"/>
    <hyperlink ref="B78" r:id="rId142" display="http://biomolecula.ru/authors/4331"/>
    <hyperlink ref="A68" r:id="rId143" display="http://biomolecula.ru/content/1841"/>
    <hyperlink ref="B68" r:id="rId144" display="http://biomolecula.ru/authors/4332"/>
    <hyperlink ref="A69" r:id="rId145" display="http://biomolecula.ru/content/1842"/>
    <hyperlink ref="B69" r:id="rId146" display="http://biomolecula.ru/authors/4336"/>
    <hyperlink ref="A55" r:id="rId147" display="http://biomolecula.ru/content/1843"/>
    <hyperlink ref="B55" r:id="rId148" display="http://biomolecula.ru/authors/4348"/>
    <hyperlink ref="B32" r:id="rId149" display="http://biomolecula.ru/authors/4348"/>
    <hyperlink ref="A32" r:id="rId150" display="http://biomolecula.ru/content/1844"/>
    <hyperlink ref="A34" r:id="rId151" display="http://biomolecula.ru/content/1845"/>
    <hyperlink ref="B34" r:id="rId152" display="http://biomolecula.ru/authors/4858"/>
    <hyperlink ref="A33" r:id="rId153" display="http://biomolecula.ru/content/1846"/>
    <hyperlink ref="B33" r:id="rId154" display="http://biomolecula.ru/authors/4820"/>
    <hyperlink ref="A70" r:id="rId155" display="http://biomolecula.ru/content/1847"/>
    <hyperlink ref="B70" r:id="rId156" display="http://biomolecula.ru/authors/48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Сводка</vt:lpstr>
      <vt:lpstr>Башмакова</vt:lpstr>
      <vt:lpstr>Вяххи</vt:lpstr>
      <vt:lpstr>Зимина</vt:lpstr>
      <vt:lpstr>Клещенко</vt:lpstr>
      <vt:lpstr>Константинов</vt:lpstr>
      <vt:lpstr>Максутов</vt:lpstr>
      <vt:lpstr>Мамонтов</vt:lpstr>
      <vt:lpstr>Меджитов</vt:lpstr>
      <vt:lpstr>Паевский</vt:lpstr>
      <vt:lpstr>Полянский</vt:lpstr>
      <vt:lpstr>Старокадомский</vt:lpstr>
      <vt:lpstr>Тарасевич</vt:lpstr>
      <vt:lpstr>Чугунов</vt:lpstr>
      <vt:lpstr>Якименко</vt:lpstr>
      <vt:lpstr>Якутенко</vt:lpstr>
    </vt:vector>
  </TitlesOfParts>
  <Company>MFPL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Polyansky</dc:creator>
  <cp:lastModifiedBy>Антон Чугунов</cp:lastModifiedBy>
  <dcterms:created xsi:type="dcterms:W3CDTF">2011-11-02T10:15:53Z</dcterms:created>
  <dcterms:modified xsi:type="dcterms:W3CDTF">2015-12-23T15:55:25Z</dcterms:modified>
</cp:coreProperties>
</file>